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jekte\Nachhaltige Verwaltung\HF\KNLV\Bilanzierung und Berichte\Emissionsfaktoren\Veröffentlichung\"/>
    </mc:Choice>
  </mc:AlternateContent>
  <bookViews>
    <workbookView xWindow="0" yWindow="0" windowWidth="19200" windowHeight="7970"/>
  </bookViews>
  <sheets>
    <sheet name="Gebäude" sheetId="4" r:id="rId1"/>
    <sheet name="Dienstreisen PKW" sheetId="7" r:id="rId2"/>
    <sheet name="Bahnreisen" sheetId="8" r:id="rId3"/>
    <sheet name="Flugreisen" sheetId="9" r:id="rId4"/>
    <sheet name="Biogene Out of Scope Emissionen" sheetId="6" r:id="rId5"/>
    <sheet name="Quellen Links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E31" i="4"/>
  <c r="D31" i="4"/>
  <c r="G30" i="4"/>
  <c r="F30" i="4"/>
  <c r="E30" i="4"/>
  <c r="D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G18" i="4"/>
  <c r="G17" i="4"/>
  <c r="F17" i="4"/>
  <c r="G16" i="4"/>
  <c r="F16" i="4"/>
  <c r="G15" i="4"/>
  <c r="F15" i="4"/>
  <c r="G14" i="4"/>
  <c r="F14" i="4"/>
  <c r="F13" i="4"/>
  <c r="F12" i="4"/>
  <c r="G43" i="4" l="1"/>
  <c r="F43" i="4"/>
  <c r="G42" i="4"/>
  <c r="F42" i="4"/>
</calcChain>
</file>

<file path=xl/sharedStrings.xml><?xml version="1.0" encoding="utf-8"?>
<sst xmlns="http://schemas.openxmlformats.org/spreadsheetml/2006/main" count="308" uniqueCount="132">
  <si>
    <t>CO2</t>
  </si>
  <si>
    <t>PV Vorkette</t>
  </si>
  <si>
    <t>PV direkt</t>
  </si>
  <si>
    <t>Wind Vorkette (onshore)</t>
  </si>
  <si>
    <t>Wind Direkt (onshore)</t>
  </si>
  <si>
    <t>Wind Vorkette (offshore)</t>
  </si>
  <si>
    <t>Wind Direkt (offshore)</t>
  </si>
  <si>
    <t>Quelle</t>
  </si>
  <si>
    <t>UBA</t>
  </si>
  <si>
    <t>Einheit</t>
  </si>
  <si>
    <t>Strommix Vorkette</t>
  </si>
  <si>
    <t>Strommix direkt</t>
  </si>
  <si>
    <t>Ökostrom Vorkette</t>
  </si>
  <si>
    <t>kg/kWh</t>
  </si>
  <si>
    <t>Kommentar</t>
  </si>
  <si>
    <t>-</t>
  </si>
  <si>
    <t>Vorkette von Strommix</t>
  </si>
  <si>
    <t>Fernwärme-Mix Vorkette</t>
  </si>
  <si>
    <t>Fernwärme-Mix direkt</t>
  </si>
  <si>
    <t>Heizstrom Ökostrom Vorkette</t>
  </si>
  <si>
    <t>Heizstrom Strommix direkt</t>
  </si>
  <si>
    <t>Diesel Vorkette</t>
  </si>
  <si>
    <t>Diesel direkt</t>
  </si>
  <si>
    <t>Benzin Vorkette</t>
  </si>
  <si>
    <t>Benzin direkt</t>
  </si>
  <si>
    <t>Erdgas/CNG Vorkette</t>
  </si>
  <si>
    <t>Erdgas/CNG direkt</t>
  </si>
  <si>
    <t>Autogas/LPG Vorkette</t>
  </si>
  <si>
    <t>Auotgas/LPG direkt</t>
  </si>
  <si>
    <t>Bezeichnung</t>
  </si>
  <si>
    <t>PKW (Benzin) Vorkette</t>
  </si>
  <si>
    <t>PKW (Benzin) direkt</t>
  </si>
  <si>
    <t>PKW (Diesel) Vorkette</t>
  </si>
  <si>
    <t>kg/l</t>
  </si>
  <si>
    <t>UBA/berechnet</t>
  </si>
  <si>
    <t>IPCC AR 6</t>
  </si>
  <si>
    <t>CH4e</t>
  </si>
  <si>
    <t>N2Oe</t>
  </si>
  <si>
    <t>Gemis 5.0</t>
  </si>
  <si>
    <t>PKW (Diesel) direkt</t>
  </si>
  <si>
    <t>kg/km</t>
  </si>
  <si>
    <t>kg/kg</t>
  </si>
  <si>
    <t>Heizwert 6,912 kWh/l</t>
  </si>
  <si>
    <t>Heizwert 9,8 kWh/l</t>
  </si>
  <si>
    <t>Heizwert 8,9 kWh/l</t>
  </si>
  <si>
    <t>Heizwert 13 kWh/kg</t>
  </si>
  <si>
    <t>CO2e gesamt</t>
  </si>
  <si>
    <t>Gemis 5.0/berechnet</t>
  </si>
  <si>
    <t>HBEFA 4.2</t>
  </si>
  <si>
    <t>TREMOD 6.51</t>
  </si>
  <si>
    <t>kg/Pkm</t>
  </si>
  <si>
    <t>&gt;10000</t>
  </si>
  <si>
    <t>LTO</t>
  </si>
  <si>
    <t>CO2e WTW</t>
  </si>
  <si>
    <t>kg/Passagier/Start</t>
  </si>
  <si>
    <t>CCD</t>
  </si>
  <si>
    <t>CO2ewf TTW</t>
  </si>
  <si>
    <t>CO2e TTW</t>
  </si>
  <si>
    <t>CNG/Benzin kombiniert Vorkette</t>
  </si>
  <si>
    <t>CNG/Benzin kombiniert direkt</t>
  </si>
  <si>
    <t>LPG/Benzin Kombiniert Vorkette</t>
  </si>
  <si>
    <t>LPG/Benzin Kombiniert direkt</t>
  </si>
  <si>
    <t>Bahnreisen</t>
  </si>
  <si>
    <t>Deutsche Bahn/berechnet</t>
  </si>
  <si>
    <t>Benzin/Elektro Vorkette</t>
  </si>
  <si>
    <t>Benzin/Elektro direkt</t>
  </si>
  <si>
    <t>Durchschnitts PKW Vorkette</t>
  </si>
  <si>
    <t>Durchschnitts PKW direkt</t>
  </si>
  <si>
    <t>Holz (Pellets)</t>
  </si>
  <si>
    <t>Biogas</t>
  </si>
  <si>
    <t>DEFRA</t>
  </si>
  <si>
    <t>Kältemittel R134a</t>
  </si>
  <si>
    <t>Kältemittel R32</t>
  </si>
  <si>
    <t>Kältemittel R507(A)</t>
  </si>
  <si>
    <t>Kältemittel R404A</t>
  </si>
  <si>
    <t>Kältemittel R410A</t>
  </si>
  <si>
    <t>Kältemittel R407C</t>
  </si>
  <si>
    <t>Ökostrom direkt (marktbasiert)</t>
  </si>
  <si>
    <t>Heizstrom Ökostrom direkt (marktbasiert)</t>
  </si>
  <si>
    <t>berechnet LANUV</t>
  </si>
  <si>
    <t>Angabe von Endenergieverbrauch und THG-Emissionen (WTW) pro Passagier und Start. Für Hin- und Rückflug also 2x anzuwenden.</t>
  </si>
  <si>
    <t xml:space="preserve">Endenergieverbrauch pro Passagier-km. Direkte THG-Emissionen für anteilige Fluglänge  in &gt;9km Höhe. Inkl. RFI-Aufschlag, der alle THG-Wirkungen abbildet. 
</t>
  </si>
  <si>
    <t xml:space="preserve">Endenergieverbrauch pro Passagier-km. Direkte THG-Emissionen für anteilige Fluglänge  in &lt;9km Höhe. Ohne RFI-Aufschlag, aber inkl. Beiträge CO2 und CH4 mit jeweiligem GWP. </t>
  </si>
  <si>
    <t>&lt;=500km</t>
  </si>
  <si>
    <t>5000-10000km</t>
  </si>
  <si>
    <t>2000-05000km</t>
  </si>
  <si>
    <t>1000-02000km</t>
  </si>
  <si>
    <t>500-01000km</t>
  </si>
  <si>
    <t>Location based: Strommix EF ausweisen</t>
  </si>
  <si>
    <t>Berechnung aus Biogas (Energiepflanzen) nach TA-Luft und Baurecht genehmigt sowie Biomethan (Energiepflanzen) nach TA-Luft</t>
  </si>
  <si>
    <t>Adblue direkt</t>
  </si>
  <si>
    <t>Ecoinvent 3.8</t>
  </si>
  <si>
    <t>Erdgas Vorkette Brennwert</t>
  </si>
  <si>
    <t>Umrechnung auf Brennwert</t>
  </si>
  <si>
    <t>Erdgas direkt Brennwert</t>
  </si>
  <si>
    <t>Heizöl Vorkette Brennwert</t>
  </si>
  <si>
    <t>Heizöl direkt Brennwert</t>
  </si>
  <si>
    <t>Steinkohle Vorkette Brennwert</t>
  </si>
  <si>
    <t>Steinkohle direkt Brennwert</t>
  </si>
  <si>
    <t>Braunkohle Vorkette Brennwert</t>
  </si>
  <si>
    <t>Braunkohle direkt Brennwert</t>
  </si>
  <si>
    <t>Holz Vorkette Brennwert</t>
  </si>
  <si>
    <t>Holz direkt Brennwert</t>
  </si>
  <si>
    <t>Biogas Vorkette Brennwert</t>
  </si>
  <si>
    <t>Umrechnung auf Brennwert, Annahme gleicher Umrechnungsfaktor wie Erdgas</t>
  </si>
  <si>
    <t>Biogas direkt Brennwert</t>
  </si>
  <si>
    <t>Flüssiggas Vorkette Brennwert</t>
  </si>
  <si>
    <t>Gemis 5.0/Berechnet</t>
  </si>
  <si>
    <t>Flüssiggas direkt Brennwert</t>
  </si>
  <si>
    <t>Erdgas Vorkette Heizwert</t>
  </si>
  <si>
    <t>Erdgas direkt Heizwert</t>
  </si>
  <si>
    <t>Heizöl Vorkette Heizwert</t>
  </si>
  <si>
    <t>Heizöl direkt Heizwert</t>
  </si>
  <si>
    <t>Steinkohle Vorkette Heizwert</t>
  </si>
  <si>
    <t>Steinkohle direkt Heizwert</t>
  </si>
  <si>
    <t>Braunkohle Vorkette Heizwert</t>
  </si>
  <si>
    <t>Braunkohle direkt Heizwert</t>
  </si>
  <si>
    <t>Holz Vorkette Heizwert</t>
  </si>
  <si>
    <t>Holz direkt Heizwert</t>
  </si>
  <si>
    <t>Biogas Vorkette Heizwert</t>
  </si>
  <si>
    <t>Biogas direkt Heizwert</t>
  </si>
  <si>
    <t>Flüssiggas Vorkette Heizwert</t>
  </si>
  <si>
    <t>Flüssiggas direkt Heizwert</t>
  </si>
  <si>
    <t>Link</t>
  </si>
  <si>
    <t>Version</t>
  </si>
  <si>
    <t>Jahr der Veröffentlichung</t>
  </si>
  <si>
    <t>https://www.umweltbundesamt.de/sites/default/files/medien/1410/publikationen/2021-12-13_climate-change_71-2021_emissionsbilanz_erneuerbarer_energien_2020_bf_korr-01-2022.pdf</t>
  </si>
  <si>
    <t>korrigiert 2022</t>
  </si>
  <si>
    <t>Greenhouse gas reporting: conversion factors 2023 - GOV.UK</t>
  </si>
  <si>
    <t>1,1</t>
  </si>
  <si>
    <t>Bundesverband Geothermie</t>
  </si>
  <si>
    <t>https://www.geothermie.de/bibliothek/lexikon-der-geothermie/b/brennwert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</si>
</sst>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0"/>
    <numFmt numFmtId="166" formatCode="_-* #,##0.00\ _€_-;\-* #,##0.00\ _€_-;_-* &quot;-&quot;??\ _€_-;_-@_-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166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ont="1"/>
    <xf numFmtId="164" fontId="0" fillId="0" borderId="0" xfId="0" applyNumberFormat="1" applyFont="1" applyFill="1"/>
    <xf numFmtId="165" fontId="0" fillId="0" borderId="0" xfId="0" applyNumberFormat="1" applyFont="1"/>
    <xf numFmtId="164" fontId="5" fillId="0" borderId="0" xfId="0" applyNumberFormat="1" applyFont="1" applyBorder="1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0" fillId="0" borderId="0" xfId="0" applyFont="1" applyFill="1" applyBorder="1"/>
    <xf numFmtId="0" fontId="4" fillId="0" borderId="0" xfId="1" applyFont="1" applyFill="1" applyBorder="1" applyAlignment="1">
      <alignment horizontal="center"/>
    </xf>
    <xf numFmtId="167" fontId="1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 applyBorder="1"/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0" fontId="5" fillId="0" borderId="0" xfId="0" applyFont="1"/>
    <xf numFmtId="0" fontId="5" fillId="0" borderId="0" xfId="0" applyFont="1" applyAlignment="1"/>
    <xf numFmtId="0" fontId="0" fillId="0" borderId="0" xfId="0" applyFont="1" applyFill="1"/>
    <xf numFmtId="2" fontId="0" fillId="0" borderId="0" xfId="0" applyNumberFormat="1"/>
    <xf numFmtId="2" fontId="1" fillId="0" borderId="0" xfId="0" applyNumberFormat="1" applyFont="1"/>
    <xf numFmtId="164" fontId="0" fillId="0" borderId="0" xfId="0" applyNumberFormat="1" applyFill="1"/>
    <xf numFmtId="2" fontId="0" fillId="0" borderId="0" xfId="0" applyNumberFormat="1" applyFill="1"/>
    <xf numFmtId="2" fontId="1" fillId="0" borderId="0" xfId="0" applyNumberFormat="1" applyFont="1" applyFill="1"/>
    <xf numFmtId="0" fontId="6" fillId="0" borderId="0" xfId="0" applyFont="1"/>
    <xf numFmtId="49" fontId="6" fillId="0" borderId="0" xfId="0" applyNumberFormat="1" applyFont="1"/>
    <xf numFmtId="49" fontId="0" fillId="0" borderId="0" xfId="0" applyNumberFormat="1"/>
    <xf numFmtId="0" fontId="7" fillId="0" borderId="0" xfId="3"/>
    <xf numFmtId="165" fontId="0" fillId="0" borderId="0" xfId="0" applyNumberFormat="1" applyFont="1" applyFill="1"/>
  </cellXfs>
  <cellStyles count="4">
    <cellStyle name="Komma 2" xfId="2"/>
    <cellStyle name="Link" xfId="3" builtinId="8"/>
    <cellStyle name="Standard" xfId="0" builtinId="0"/>
    <cellStyle name="Standard_Tabelle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greenhouse-gas-reporting-conversion-factor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90" zoomScaleNormal="90" workbookViewId="0">
      <selection activeCell="K20" sqref="K20"/>
    </sheetView>
  </sheetViews>
  <sheetFormatPr baseColWidth="10" defaultRowHeight="14.5" x14ac:dyDescent="0.35"/>
  <cols>
    <col min="1" max="1" width="34.1796875" customWidth="1"/>
    <col min="2" max="2" width="13.6328125" bestFit="1" customWidth="1"/>
    <col min="4" max="4" width="15.1796875" customWidth="1"/>
    <col min="8" max="8" width="44.90625" customWidth="1"/>
  </cols>
  <sheetData>
    <row r="1" spans="1:9" s="8" customFormat="1" x14ac:dyDescent="0.35">
      <c r="A1" s="22" t="s">
        <v>29</v>
      </c>
      <c r="B1" s="22" t="s">
        <v>7</v>
      </c>
      <c r="C1" s="22" t="s">
        <v>9</v>
      </c>
      <c r="D1" s="22" t="s">
        <v>46</v>
      </c>
      <c r="E1" s="22" t="s">
        <v>0</v>
      </c>
      <c r="F1" s="22" t="s">
        <v>36</v>
      </c>
      <c r="G1" s="22" t="s">
        <v>37</v>
      </c>
      <c r="H1" s="22" t="s">
        <v>14</v>
      </c>
      <c r="I1" s="32"/>
    </row>
    <row r="2" spans="1:9" x14ac:dyDescent="0.35">
      <c r="A2" t="s">
        <v>10</v>
      </c>
      <c r="B2" t="s">
        <v>8</v>
      </c>
      <c r="C2" t="s">
        <v>13</v>
      </c>
      <c r="D2" s="1">
        <v>5.4752000000000002E-2</v>
      </c>
      <c r="E2" s="1">
        <v>3.4046E-2</v>
      </c>
      <c r="F2" s="1">
        <v>1.7975999999999999E-2</v>
      </c>
      <c r="G2" s="1">
        <v>3.9750000000000002E-3</v>
      </c>
      <c r="I2" s="3"/>
    </row>
    <row r="3" spans="1:9" x14ac:dyDescent="0.35">
      <c r="A3" t="s">
        <v>11</v>
      </c>
      <c r="B3" t="s">
        <v>8</v>
      </c>
      <c r="C3" t="s">
        <v>13</v>
      </c>
      <c r="D3" s="1">
        <v>0.375</v>
      </c>
      <c r="E3" s="1">
        <v>0.36720399999999997</v>
      </c>
      <c r="F3" s="1">
        <v>5.3760000000000006E-3</v>
      </c>
      <c r="G3" s="1">
        <v>2.65E-3</v>
      </c>
      <c r="I3" s="3"/>
    </row>
    <row r="4" spans="1:9" x14ac:dyDescent="0.35">
      <c r="A4" t="s">
        <v>12</v>
      </c>
      <c r="B4" t="s">
        <v>8</v>
      </c>
      <c r="C4" t="s">
        <v>13</v>
      </c>
      <c r="D4" s="1">
        <v>5.4752000000000002E-2</v>
      </c>
      <c r="E4" s="1">
        <v>3.4046E-2</v>
      </c>
      <c r="F4" s="1">
        <v>1.7975999999999999E-2</v>
      </c>
      <c r="G4" s="1">
        <v>3.9750000000000002E-3</v>
      </c>
      <c r="H4" t="s">
        <v>16</v>
      </c>
      <c r="I4" s="3"/>
    </row>
    <row r="5" spans="1:9" x14ac:dyDescent="0.35">
      <c r="A5" t="s">
        <v>77</v>
      </c>
      <c r="B5" t="s">
        <v>15</v>
      </c>
      <c r="C5" t="s">
        <v>13</v>
      </c>
      <c r="D5" s="1">
        <v>0</v>
      </c>
      <c r="E5" s="1">
        <v>0</v>
      </c>
      <c r="F5" s="1">
        <v>0</v>
      </c>
      <c r="G5" s="1">
        <v>0</v>
      </c>
      <c r="H5" t="s">
        <v>88</v>
      </c>
      <c r="I5" s="3"/>
    </row>
    <row r="6" spans="1:9" x14ac:dyDescent="0.35">
      <c r="A6" t="s">
        <v>1</v>
      </c>
      <c r="B6" t="s">
        <v>8</v>
      </c>
      <c r="C6" t="s">
        <v>13</v>
      </c>
      <c r="D6" s="1">
        <v>5.6143999999999999E-2</v>
      </c>
      <c r="E6" s="1">
        <v>5.2262000000000003E-2</v>
      </c>
      <c r="F6" s="1">
        <v>3.8079999999999998E-3</v>
      </c>
      <c r="G6" s="1">
        <v>5.2999999999999998E-4</v>
      </c>
      <c r="I6" s="3"/>
    </row>
    <row r="7" spans="1:9" x14ac:dyDescent="0.35">
      <c r="A7" t="s">
        <v>2</v>
      </c>
      <c r="B7" t="s">
        <v>8</v>
      </c>
      <c r="C7" t="s">
        <v>13</v>
      </c>
      <c r="D7" s="1">
        <v>0</v>
      </c>
      <c r="E7" s="1">
        <v>0</v>
      </c>
      <c r="F7" s="1">
        <v>0</v>
      </c>
      <c r="G7" s="1">
        <v>0</v>
      </c>
      <c r="I7" s="3"/>
    </row>
    <row r="8" spans="1:9" x14ac:dyDescent="0.35">
      <c r="A8" t="s">
        <v>3</v>
      </c>
      <c r="B8" t="s">
        <v>8</v>
      </c>
      <c r="C8" t="s">
        <v>13</v>
      </c>
      <c r="D8" s="1">
        <v>1.7783E-2</v>
      </c>
      <c r="E8" s="1">
        <v>1.6716999999999999E-2</v>
      </c>
      <c r="F8" s="1">
        <v>8.6800000000000006E-4</v>
      </c>
      <c r="G8" s="1">
        <v>0</v>
      </c>
      <c r="I8" s="3"/>
    </row>
    <row r="9" spans="1:9" x14ac:dyDescent="0.35">
      <c r="A9" t="s">
        <v>4</v>
      </c>
      <c r="B9" t="s">
        <v>8</v>
      </c>
      <c r="C9" t="s">
        <v>13</v>
      </c>
      <c r="D9" s="1">
        <v>0</v>
      </c>
      <c r="E9" s="1">
        <v>0</v>
      </c>
      <c r="F9" s="1">
        <v>0</v>
      </c>
      <c r="G9" s="1">
        <v>0</v>
      </c>
      <c r="I9" s="3"/>
    </row>
    <row r="10" spans="1:9" x14ac:dyDescent="0.35">
      <c r="A10" t="s">
        <v>5</v>
      </c>
      <c r="B10" t="s">
        <v>8</v>
      </c>
      <c r="C10" t="s">
        <v>13</v>
      </c>
      <c r="D10" s="1">
        <v>9.7230000000000007E-3</v>
      </c>
      <c r="E10" s="1">
        <v>9.0489999999999998E-3</v>
      </c>
      <c r="F10" s="1">
        <v>5.6000000000000006E-4</v>
      </c>
      <c r="G10" s="1">
        <v>0</v>
      </c>
      <c r="I10" s="3"/>
    </row>
    <row r="11" spans="1:9" x14ac:dyDescent="0.35">
      <c r="A11" t="s">
        <v>6</v>
      </c>
      <c r="B11" t="s">
        <v>8</v>
      </c>
      <c r="C11" t="s">
        <v>13</v>
      </c>
      <c r="D11" s="1">
        <v>0</v>
      </c>
      <c r="E11" s="1">
        <v>0</v>
      </c>
      <c r="F11" s="1">
        <v>0</v>
      </c>
      <c r="G11" s="1">
        <v>0</v>
      </c>
      <c r="I11" s="3"/>
    </row>
    <row r="12" spans="1:9" x14ac:dyDescent="0.35">
      <c r="A12" t="s">
        <v>109</v>
      </c>
      <c r="B12" t="s">
        <v>8</v>
      </c>
      <c r="C12" t="s">
        <v>13</v>
      </c>
      <c r="D12" s="1">
        <v>3.9855000000000002E-2</v>
      </c>
      <c r="E12" s="1">
        <v>2.0438999999999999E-2</v>
      </c>
      <c r="F12" s="1">
        <f>0.000772*28</f>
        <v>2.1616E-2</v>
      </c>
      <c r="G12" s="1">
        <v>0</v>
      </c>
      <c r="I12" s="26"/>
    </row>
    <row r="13" spans="1:9" x14ac:dyDescent="0.35">
      <c r="A13" t="s">
        <v>92</v>
      </c>
      <c r="B13" t="s">
        <v>34</v>
      </c>
      <c r="C13" t="s">
        <v>13</v>
      </c>
      <c r="D13" s="1">
        <v>3.5905405405405405E-2</v>
      </c>
      <c r="E13" s="1">
        <v>1.8413513513513512E-2</v>
      </c>
      <c r="F13" s="1">
        <f>(0.000772*28)/1.11</f>
        <v>1.9473873873873872E-2</v>
      </c>
      <c r="G13" s="1">
        <v>0</v>
      </c>
      <c r="H13" s="6" t="s">
        <v>93</v>
      </c>
      <c r="I13" s="23"/>
    </row>
    <row r="14" spans="1:9" x14ac:dyDescent="0.35">
      <c r="A14" t="s">
        <v>110</v>
      </c>
      <c r="B14" t="s">
        <v>8</v>
      </c>
      <c r="C14" t="s">
        <v>13</v>
      </c>
      <c r="D14" s="1">
        <v>0.201234</v>
      </c>
      <c r="E14" s="1">
        <v>0.20069500000000001</v>
      </c>
      <c r="F14" s="1">
        <f>0.000011*28</f>
        <v>3.0800000000000001E-4</v>
      </c>
      <c r="G14" s="1">
        <f>0.000001*265</f>
        <v>2.6499999999999999E-4</v>
      </c>
      <c r="I14" s="23"/>
    </row>
    <row r="15" spans="1:9" x14ac:dyDescent="0.35">
      <c r="A15" t="s">
        <v>94</v>
      </c>
      <c r="B15" t="s">
        <v>34</v>
      </c>
      <c r="C15" t="s">
        <v>13</v>
      </c>
      <c r="D15" s="1">
        <v>0.18129189189189188</v>
      </c>
      <c r="E15" s="1">
        <v>0.18080630630630631</v>
      </c>
      <c r="F15" s="1">
        <f>(0.000011*28)/1.11</f>
        <v>2.7747747747747746E-4</v>
      </c>
      <c r="G15" s="1">
        <f>(0.000001*265)/1.11</f>
        <v>2.387387387387387E-4</v>
      </c>
      <c r="H15" s="6" t="s">
        <v>93</v>
      </c>
      <c r="I15" s="23"/>
    </row>
    <row r="16" spans="1:9" x14ac:dyDescent="0.35">
      <c r="A16" t="s">
        <v>111</v>
      </c>
      <c r="B16" t="s">
        <v>8</v>
      </c>
      <c r="C16" t="s">
        <v>13</v>
      </c>
      <c r="D16" s="4">
        <v>4.5588999999999998E-2</v>
      </c>
      <c r="E16" s="1">
        <v>4.3448000000000001E-2</v>
      </c>
      <c r="F16" s="1">
        <f>0.000069*28</f>
        <v>1.9319999999999999E-3</v>
      </c>
      <c r="G16" s="1">
        <f>0.000001*265</f>
        <v>2.6499999999999999E-4</v>
      </c>
      <c r="I16" s="26"/>
    </row>
    <row r="17" spans="1:9" x14ac:dyDescent="0.35">
      <c r="A17" t="s">
        <v>95</v>
      </c>
      <c r="B17" t="s">
        <v>34</v>
      </c>
      <c r="C17" t="s">
        <v>13</v>
      </c>
      <c r="D17" s="4">
        <v>4.3008490566037734E-2</v>
      </c>
      <c r="E17" s="4">
        <v>4.0988679245283016E-2</v>
      </c>
      <c r="F17" s="4">
        <f>(0.000069*28)/1.06</f>
        <v>1.8226415094339621E-3</v>
      </c>
      <c r="G17" s="4">
        <f>(0.000001*265)/1.06</f>
        <v>2.5000000000000001E-4</v>
      </c>
      <c r="H17" s="6" t="s">
        <v>93</v>
      </c>
      <c r="I17" s="24"/>
    </row>
    <row r="18" spans="1:9" x14ac:dyDescent="0.35">
      <c r="A18" t="s">
        <v>112</v>
      </c>
      <c r="B18" t="s">
        <v>8</v>
      </c>
      <c r="C18" t="s">
        <v>13</v>
      </c>
      <c r="D18" s="4">
        <v>0.26706200000000002</v>
      </c>
      <c r="E18" s="1">
        <v>0.26647199999999999</v>
      </c>
      <c r="F18" s="1">
        <v>0</v>
      </c>
      <c r="G18" s="1">
        <f>0.000002*265</f>
        <v>5.2999999999999998E-4</v>
      </c>
      <c r="I18" s="24"/>
    </row>
    <row r="19" spans="1:9" x14ac:dyDescent="0.35">
      <c r="A19" t="s">
        <v>96</v>
      </c>
      <c r="B19" t="s">
        <v>34</v>
      </c>
      <c r="C19" t="s">
        <v>13</v>
      </c>
      <c r="D19" s="4">
        <v>0.25194528301886793</v>
      </c>
      <c r="E19" s="4">
        <v>0.25138867924528302</v>
      </c>
      <c r="F19" s="4">
        <v>0</v>
      </c>
      <c r="G19" s="4">
        <f>(0.000002*265)/1.06</f>
        <v>5.0000000000000001E-4</v>
      </c>
      <c r="H19" s="6" t="s">
        <v>93</v>
      </c>
      <c r="I19" s="24"/>
    </row>
    <row r="20" spans="1:9" x14ac:dyDescent="0.35">
      <c r="A20" t="s">
        <v>113</v>
      </c>
      <c r="B20" t="s">
        <v>8</v>
      </c>
      <c r="C20" t="s">
        <v>13</v>
      </c>
      <c r="D20" s="1">
        <v>5.2727999999999997E-2</v>
      </c>
      <c r="E20" s="1">
        <v>1.8093999999999999E-2</v>
      </c>
      <c r="F20" s="1">
        <f>0.00137*28</f>
        <v>3.8359999999999998E-2</v>
      </c>
      <c r="G20" s="1">
        <f>0.000001*265</f>
        <v>2.6499999999999999E-4</v>
      </c>
      <c r="I20" s="26"/>
    </row>
    <row r="21" spans="1:9" x14ac:dyDescent="0.35">
      <c r="A21" t="s">
        <v>97</v>
      </c>
      <c r="B21" t="s">
        <v>34</v>
      </c>
      <c r="C21" t="s">
        <v>13</v>
      </c>
      <c r="D21" s="1">
        <v>5.1694117647058821E-2</v>
      </c>
      <c r="E21" s="1">
        <v>1.7739215686274509E-2</v>
      </c>
      <c r="F21" s="1">
        <f>(0.00137*28)/1.02</f>
        <v>3.7607843137254897E-2</v>
      </c>
      <c r="G21" s="1">
        <f>(0.000001*265)/1.02</f>
        <v>2.5980392156862742E-4</v>
      </c>
      <c r="H21" s="6" t="s">
        <v>93</v>
      </c>
      <c r="I21" s="23"/>
    </row>
    <row r="22" spans="1:9" x14ac:dyDescent="0.35">
      <c r="A22" t="s">
        <v>114</v>
      </c>
      <c r="B22" t="s">
        <v>8</v>
      </c>
      <c r="C22" t="s">
        <v>13</v>
      </c>
      <c r="D22" s="1">
        <v>0.375809</v>
      </c>
      <c r="E22" s="1">
        <v>0.35142000000000001</v>
      </c>
      <c r="F22" s="1">
        <f>0.000482*28</f>
        <v>1.3496000000000001E-2</v>
      </c>
      <c r="G22" s="1">
        <f>0.000041*265</f>
        <v>1.0865E-2</v>
      </c>
      <c r="I22" s="23"/>
    </row>
    <row r="23" spans="1:9" x14ac:dyDescent="0.35">
      <c r="A23" t="s">
        <v>98</v>
      </c>
      <c r="B23" t="s">
        <v>34</v>
      </c>
      <c r="C23" t="s">
        <v>13</v>
      </c>
      <c r="D23" s="1">
        <v>0.36844019607843137</v>
      </c>
      <c r="E23" s="1">
        <v>0.34452941176470586</v>
      </c>
      <c r="F23" s="1">
        <f>(0.000482*28)/1.02</f>
        <v>1.3231372549019609E-2</v>
      </c>
      <c r="G23" s="1">
        <f>(0.000041*265)/1.02</f>
        <v>1.0651960784313725E-2</v>
      </c>
      <c r="H23" s="6" t="s">
        <v>93</v>
      </c>
      <c r="I23" s="23"/>
    </row>
    <row r="24" spans="1:9" x14ac:dyDescent="0.35">
      <c r="A24" t="s">
        <v>115</v>
      </c>
      <c r="B24" t="s">
        <v>8</v>
      </c>
      <c r="C24" t="s">
        <v>13</v>
      </c>
      <c r="D24" s="1">
        <v>5.9417999999999999E-2</v>
      </c>
      <c r="E24" s="1">
        <v>5.5198999999999998E-2</v>
      </c>
      <c r="F24" s="1">
        <f>0.000018*28</f>
        <v>5.04E-4</v>
      </c>
      <c r="G24" s="1">
        <f>0.000013*265</f>
        <v>3.4449999999999997E-3</v>
      </c>
      <c r="I24" s="23"/>
    </row>
    <row r="25" spans="1:9" x14ac:dyDescent="0.35">
      <c r="A25" t="s">
        <v>99</v>
      </c>
      <c r="B25" t="s">
        <v>34</v>
      </c>
      <c r="C25" t="s">
        <v>13</v>
      </c>
      <c r="D25" s="1">
        <v>5.8252941176470584E-2</v>
      </c>
      <c r="E25" s="1">
        <v>5.4116666666666667E-2</v>
      </c>
      <c r="F25" s="1">
        <f>(0.000018*28)/1.02</f>
        <v>4.9411764705882349E-4</v>
      </c>
      <c r="G25" s="1">
        <f>(0.000013*265)/1.02</f>
        <v>3.3774509803921565E-3</v>
      </c>
      <c r="H25" s="6" t="s">
        <v>93</v>
      </c>
      <c r="I25" s="23"/>
    </row>
    <row r="26" spans="1:9" x14ac:dyDescent="0.35">
      <c r="A26" t="s">
        <v>116</v>
      </c>
      <c r="B26" t="s">
        <v>8</v>
      </c>
      <c r="C26" t="s">
        <v>13</v>
      </c>
      <c r="D26" s="1">
        <v>0.38329000000000002</v>
      </c>
      <c r="E26" s="1">
        <v>0.35636899999999999</v>
      </c>
      <c r="F26" s="1">
        <f>0.000854*28</f>
        <v>2.3912000000000003E-2</v>
      </c>
      <c r="G26" s="1">
        <f>0.000019*265</f>
        <v>5.0350000000000004E-3</v>
      </c>
      <c r="I26" s="26"/>
    </row>
    <row r="27" spans="1:9" x14ac:dyDescent="0.35">
      <c r="A27" t="s">
        <v>100</v>
      </c>
      <c r="B27" t="s">
        <v>34</v>
      </c>
      <c r="C27" t="s">
        <v>13</v>
      </c>
      <c r="D27" s="25">
        <v>0.35821495327102804</v>
      </c>
      <c r="E27" s="25">
        <v>0.33305514018691584</v>
      </c>
      <c r="F27" s="25">
        <f>(0.000854*28)/1.07</f>
        <v>2.2347663551401869E-2</v>
      </c>
      <c r="G27" s="25">
        <f>(0.000019*265)/1.07</f>
        <v>4.7056074766355137E-3</v>
      </c>
      <c r="H27" s="6" t="s">
        <v>93</v>
      </c>
      <c r="I27" s="26"/>
    </row>
    <row r="28" spans="1:9" x14ac:dyDescent="0.35">
      <c r="A28" t="s">
        <v>17</v>
      </c>
      <c r="B28" t="s">
        <v>8</v>
      </c>
      <c r="C28" t="s">
        <v>13</v>
      </c>
      <c r="D28" s="1">
        <v>4.0856000000000003E-2</v>
      </c>
      <c r="E28" s="1">
        <v>1.5088000000000001E-2</v>
      </c>
      <c r="F28" s="1">
        <f>0.00102*28</f>
        <v>2.8560000000000002E-2</v>
      </c>
      <c r="G28" s="1">
        <f>0.000001*265</f>
        <v>2.6499999999999999E-4</v>
      </c>
      <c r="I28" s="26"/>
    </row>
    <row r="29" spans="1:9" x14ac:dyDescent="0.35">
      <c r="A29" t="s">
        <v>18</v>
      </c>
      <c r="B29" t="s">
        <v>8</v>
      </c>
      <c r="C29" t="s">
        <v>13</v>
      </c>
      <c r="D29" s="1">
        <v>0.25841500000000001</v>
      </c>
      <c r="E29" s="1">
        <v>0.25531199999999998</v>
      </c>
      <c r="F29" s="1">
        <f>0.000064*28</f>
        <v>1.792E-3</v>
      </c>
      <c r="G29" s="1">
        <f>0.000005*265</f>
        <v>1.325E-3</v>
      </c>
      <c r="I29" s="23"/>
    </row>
    <row r="30" spans="1:9" x14ac:dyDescent="0.35">
      <c r="A30" t="s">
        <v>117</v>
      </c>
      <c r="B30" t="s">
        <v>8</v>
      </c>
      <c r="C30" t="s">
        <v>13</v>
      </c>
      <c r="D30" s="1">
        <f>0.010215+0.009133</f>
        <v>1.9348000000000001E-2</v>
      </c>
      <c r="E30" s="1">
        <f>0.009576+0.008527</f>
        <v>1.8103000000000001E-2</v>
      </c>
      <c r="F30" s="4">
        <f>(0.000014+0.000018)*28</f>
        <v>8.9599999999999999E-4</v>
      </c>
      <c r="G30" s="4">
        <f>(0.000001+0.000001)*265</f>
        <v>5.2999999999999998E-4</v>
      </c>
      <c r="H30" s="5"/>
      <c r="I30" s="27"/>
    </row>
    <row r="31" spans="1:9" x14ac:dyDescent="0.35">
      <c r="A31" t="s">
        <v>101</v>
      </c>
      <c r="B31" t="s">
        <v>34</v>
      </c>
      <c r="C31" t="s">
        <v>13</v>
      </c>
      <c r="D31" s="25">
        <f>(0.010215+0.009133)/1.08</f>
        <v>1.7914814814814814E-2</v>
      </c>
      <c r="E31" s="25">
        <f>(0.009576+0.008527)/1.08</f>
        <v>1.6762037037037037E-2</v>
      </c>
      <c r="F31" s="25">
        <f>((0.000014+0.000018)*28)/1.08</f>
        <v>8.296296296296296E-4</v>
      </c>
      <c r="G31" s="25">
        <f>((0.000001+0.000001)*265)/1.08</f>
        <v>4.907407407407407E-4</v>
      </c>
      <c r="H31" s="6" t="s">
        <v>93</v>
      </c>
      <c r="I31" s="26"/>
    </row>
    <row r="32" spans="1:9" x14ac:dyDescent="0.35">
      <c r="A32" t="s">
        <v>102</v>
      </c>
      <c r="B32" t="s">
        <v>8</v>
      </c>
      <c r="C32" t="s">
        <v>13</v>
      </c>
      <c r="D32" s="1">
        <v>3.6099999999999999E-4</v>
      </c>
      <c r="E32" s="1">
        <v>0</v>
      </c>
      <c r="F32" s="1">
        <f>0.000002*28</f>
        <v>5.5999999999999999E-5</v>
      </c>
      <c r="G32" s="1">
        <f>0.000001*265</f>
        <v>2.6499999999999999E-4</v>
      </c>
      <c r="I32" s="26"/>
    </row>
    <row r="33" spans="1:9" x14ac:dyDescent="0.35">
      <c r="A33" t="s">
        <v>118</v>
      </c>
      <c r="B33" t="s">
        <v>34</v>
      </c>
      <c r="C33" t="s">
        <v>13</v>
      </c>
      <c r="D33" s="1">
        <v>3.6099999999999999E-4</v>
      </c>
      <c r="E33" s="1">
        <v>0</v>
      </c>
      <c r="F33" s="1">
        <f>0.000002*28</f>
        <v>5.5999999999999999E-5</v>
      </c>
      <c r="G33" s="1">
        <f>0.000001*265</f>
        <v>2.6499999999999999E-4</v>
      </c>
      <c r="H33" s="6" t="s">
        <v>93</v>
      </c>
      <c r="I33" s="26"/>
    </row>
    <row r="34" spans="1:9" x14ac:dyDescent="0.35">
      <c r="A34" t="s">
        <v>119</v>
      </c>
      <c r="B34" t="s">
        <v>34</v>
      </c>
      <c r="C34" t="s">
        <v>13</v>
      </c>
      <c r="D34" s="1">
        <v>0.11045075</v>
      </c>
      <c r="E34" s="1">
        <v>3.1924500000000001E-2</v>
      </c>
      <c r="F34" s="1">
        <f>0.0016555*28</f>
        <v>4.6353999999999999E-2</v>
      </c>
      <c r="G34" s="1">
        <f>0.00012425*265</f>
        <v>3.2926250000000004E-2</v>
      </c>
      <c r="H34" t="s">
        <v>89</v>
      </c>
      <c r="I34" s="26"/>
    </row>
    <row r="35" spans="1:9" x14ac:dyDescent="0.35">
      <c r="A35" t="s">
        <v>103</v>
      </c>
      <c r="B35" t="s">
        <v>34</v>
      </c>
      <c r="C35" t="s">
        <v>13</v>
      </c>
      <c r="D35" s="25">
        <v>9.9505180180180175E-2</v>
      </c>
      <c r="E35" s="25">
        <v>2.8760810810810809E-2</v>
      </c>
      <c r="F35" s="25">
        <f>(0.0016555*28)/1.11</f>
        <v>4.1760360360360356E-2</v>
      </c>
      <c r="G35" s="25">
        <f>(0.00012425*265)/1.11</f>
        <v>2.9663288288288289E-2</v>
      </c>
      <c r="H35" s="6" t="s">
        <v>104</v>
      </c>
      <c r="I35" s="26"/>
    </row>
    <row r="36" spans="1:9" x14ac:dyDescent="0.35">
      <c r="A36" t="s">
        <v>120</v>
      </c>
      <c r="B36" t="s">
        <v>34</v>
      </c>
      <c r="C36" t="s">
        <v>13</v>
      </c>
      <c r="D36" s="1">
        <v>4.498075E-2</v>
      </c>
      <c r="E36" s="1">
        <v>0</v>
      </c>
      <c r="F36" s="1">
        <f>0.00173925*28</f>
        <v>4.8698999999999999E-2</v>
      </c>
      <c r="G36" s="1">
        <f>0.00000525*265</f>
        <v>1.3912499999999999E-3</v>
      </c>
      <c r="H36" t="s">
        <v>89</v>
      </c>
      <c r="I36" s="26"/>
    </row>
    <row r="37" spans="1:9" s="6" customFormat="1" x14ac:dyDescent="0.35">
      <c r="A37" s="6" t="s">
        <v>105</v>
      </c>
      <c r="B37" s="6" t="s">
        <v>34</v>
      </c>
      <c r="C37" s="6" t="s">
        <v>13</v>
      </c>
      <c r="D37" s="25">
        <v>4.0523198198198197E-2</v>
      </c>
      <c r="E37" s="25">
        <v>0</v>
      </c>
      <c r="F37" s="25">
        <f>(0.00173925*28)/1.11</f>
        <v>4.3872972972972969E-2</v>
      </c>
      <c r="G37" s="25">
        <f>(0.00000525*265)/1.11</f>
        <v>1.2533783783783782E-3</v>
      </c>
      <c r="H37" s="6" t="s">
        <v>104</v>
      </c>
      <c r="I37" s="26"/>
    </row>
    <row r="38" spans="1:9" x14ac:dyDescent="0.35">
      <c r="A38" t="s">
        <v>121</v>
      </c>
      <c r="B38" t="s">
        <v>38</v>
      </c>
      <c r="C38" t="s">
        <v>13</v>
      </c>
      <c r="D38" s="1">
        <v>0.30894803999999998</v>
      </c>
      <c r="E38" s="1">
        <v>0.30864564</v>
      </c>
      <c r="F38" s="1">
        <f>0.000011269167*28</f>
        <v>3.1553667600000001E-4</v>
      </c>
      <c r="G38" s="1">
        <f>0.000001319796*265</f>
        <v>3.4974593999999998E-4</v>
      </c>
      <c r="I38" s="23"/>
    </row>
    <row r="39" spans="1:9" x14ac:dyDescent="0.35">
      <c r="A39" t="s">
        <v>106</v>
      </c>
      <c r="B39" t="s">
        <v>107</v>
      </c>
      <c r="C39" t="s">
        <v>13</v>
      </c>
      <c r="D39" s="1">
        <v>0.28343856880733942</v>
      </c>
      <c r="E39" s="1">
        <v>0.28316113761467887</v>
      </c>
      <c r="F39" s="1">
        <f>(0.000011269167*28)/1.09</f>
        <v>2.8948318899082569E-4</v>
      </c>
      <c r="G39" s="1">
        <f>(0.000001319796*265)/1.09</f>
        <v>3.2086783486238529E-4</v>
      </c>
      <c r="H39" s="6" t="s">
        <v>93</v>
      </c>
      <c r="I39" s="23"/>
    </row>
    <row r="40" spans="1:9" x14ac:dyDescent="0.35">
      <c r="A40" t="s">
        <v>122</v>
      </c>
      <c r="B40" t="s">
        <v>38</v>
      </c>
      <c r="C40" t="s">
        <v>13</v>
      </c>
      <c r="D40" s="1">
        <v>0.23912964</v>
      </c>
      <c r="E40" s="1">
        <v>0.2387358</v>
      </c>
      <c r="F40" s="1">
        <f>0.000004092036*28</f>
        <v>1.1457700800000001E-4</v>
      </c>
      <c r="G40" s="1">
        <f>0.000001023012*265</f>
        <v>2.7109817999999998E-4</v>
      </c>
      <c r="I40" s="23"/>
    </row>
    <row r="41" spans="1:9" x14ac:dyDescent="0.35">
      <c r="A41" t="s">
        <v>108</v>
      </c>
      <c r="B41" t="s">
        <v>47</v>
      </c>
      <c r="C41" t="s">
        <v>13</v>
      </c>
      <c r="D41" s="1">
        <v>0.21938499082568805</v>
      </c>
      <c r="E41" s="1">
        <v>0.21902366972477064</v>
      </c>
      <c r="F41" s="1">
        <f>(0.000004092036*28)/1.09</f>
        <v>1.0511652110091742E-4</v>
      </c>
      <c r="G41" s="1">
        <f>(0.000001023012*265)/1.09</f>
        <v>2.4871392660550458E-4</v>
      </c>
      <c r="H41" s="6" t="s">
        <v>93</v>
      </c>
      <c r="I41" s="23"/>
    </row>
    <row r="42" spans="1:9" x14ac:dyDescent="0.35">
      <c r="A42" t="s">
        <v>20</v>
      </c>
      <c r="B42" t="s">
        <v>8</v>
      </c>
      <c r="C42" t="s">
        <v>13</v>
      </c>
      <c r="D42" s="1">
        <v>0.375</v>
      </c>
      <c r="E42" s="1">
        <v>0.36720399999999997</v>
      </c>
      <c r="F42" s="1">
        <f>0.000192*28</f>
        <v>5.3760000000000006E-3</v>
      </c>
      <c r="G42" s="1">
        <f>0.00001*265</f>
        <v>2.65E-3</v>
      </c>
      <c r="I42" s="3"/>
    </row>
    <row r="43" spans="1:9" x14ac:dyDescent="0.35">
      <c r="A43" t="s">
        <v>19</v>
      </c>
      <c r="B43" t="s">
        <v>8</v>
      </c>
      <c r="C43" t="s">
        <v>13</v>
      </c>
      <c r="D43" s="1">
        <v>5.4752000000000002E-2</v>
      </c>
      <c r="E43" s="1">
        <v>3.4046E-2</v>
      </c>
      <c r="F43" s="1">
        <f>0.000642*28</f>
        <v>1.7975999999999999E-2</v>
      </c>
      <c r="G43" s="1">
        <f>0.000015*265</f>
        <v>3.9750000000000002E-3</v>
      </c>
      <c r="H43" t="s">
        <v>16</v>
      </c>
      <c r="I43" s="3"/>
    </row>
    <row r="44" spans="1:9" x14ac:dyDescent="0.35">
      <c r="A44" t="s">
        <v>78</v>
      </c>
      <c r="B44" t="s">
        <v>15</v>
      </c>
      <c r="C44" t="s">
        <v>13</v>
      </c>
      <c r="D44" s="1">
        <v>0</v>
      </c>
      <c r="E44" s="1">
        <v>0</v>
      </c>
      <c r="F44" s="1">
        <v>0</v>
      </c>
      <c r="G44" s="1">
        <v>0</v>
      </c>
      <c r="I44" s="3"/>
    </row>
    <row r="45" spans="1:9" x14ac:dyDescent="0.35">
      <c r="A45" t="s">
        <v>71</v>
      </c>
      <c r="B45" t="s">
        <v>35</v>
      </c>
      <c r="C45" t="s">
        <v>15</v>
      </c>
      <c r="D45">
        <v>1530</v>
      </c>
      <c r="E45" s="1"/>
      <c r="F45" s="1"/>
      <c r="G45" s="1"/>
      <c r="I45" s="3"/>
    </row>
    <row r="46" spans="1:9" x14ac:dyDescent="0.35">
      <c r="A46" t="s">
        <v>72</v>
      </c>
      <c r="B46" t="s">
        <v>35</v>
      </c>
      <c r="C46" t="s">
        <v>15</v>
      </c>
      <c r="D46">
        <v>771</v>
      </c>
      <c r="E46" s="1"/>
      <c r="F46" s="1"/>
      <c r="G46" s="1"/>
      <c r="I46" s="3"/>
    </row>
    <row r="47" spans="1:9" x14ac:dyDescent="0.35">
      <c r="A47" t="s">
        <v>73</v>
      </c>
      <c r="B47" t="s">
        <v>35</v>
      </c>
      <c r="C47" t="s">
        <v>15</v>
      </c>
      <c r="D47">
        <v>4775</v>
      </c>
      <c r="E47" s="1"/>
      <c r="F47" s="1"/>
      <c r="G47" s="1"/>
      <c r="I47" s="3"/>
    </row>
    <row r="48" spans="1:9" x14ac:dyDescent="0.35">
      <c r="A48" t="s">
        <v>74</v>
      </c>
      <c r="B48" t="s">
        <v>35</v>
      </c>
      <c r="C48" t="s">
        <v>15</v>
      </c>
      <c r="D48" s="2">
        <v>4728</v>
      </c>
      <c r="E48" s="1"/>
      <c r="F48" s="1"/>
      <c r="G48" s="1"/>
      <c r="I48" s="3"/>
    </row>
    <row r="49" spans="1:9" x14ac:dyDescent="0.35">
      <c r="A49" t="s">
        <v>75</v>
      </c>
      <c r="B49" t="s">
        <v>35</v>
      </c>
      <c r="C49" t="s">
        <v>15</v>
      </c>
      <c r="D49">
        <v>2256</v>
      </c>
      <c r="E49" s="1"/>
      <c r="F49" s="1"/>
      <c r="G49" s="1"/>
      <c r="I49" s="3"/>
    </row>
    <row r="50" spans="1:9" x14ac:dyDescent="0.35">
      <c r="A50" t="s">
        <v>76</v>
      </c>
      <c r="B50" t="s">
        <v>35</v>
      </c>
      <c r="C50" t="s">
        <v>15</v>
      </c>
      <c r="D50">
        <v>1856</v>
      </c>
      <c r="E50" s="1"/>
      <c r="F50" s="1"/>
      <c r="G50" s="1"/>
      <c r="I50" s="3"/>
    </row>
    <row r="53" spans="1:9" x14ac:dyDescent="0.35">
      <c r="A53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1" sqref="F21"/>
    </sheetView>
  </sheetViews>
  <sheetFormatPr baseColWidth="10" defaultRowHeight="14.5" x14ac:dyDescent="0.35"/>
  <cols>
    <col min="1" max="1" width="28.1796875" bestFit="1" customWidth="1"/>
    <col min="2" max="2" width="18.36328125" bestFit="1" customWidth="1"/>
    <col min="8" max="8" width="18.7265625" bestFit="1" customWidth="1"/>
  </cols>
  <sheetData>
    <row r="1" spans="1:9" s="8" customFormat="1" x14ac:dyDescent="0.35">
      <c r="A1" s="22" t="s">
        <v>29</v>
      </c>
      <c r="B1" s="22" t="s">
        <v>7</v>
      </c>
      <c r="C1" s="22" t="s">
        <v>9</v>
      </c>
      <c r="D1" s="22" t="s">
        <v>46</v>
      </c>
      <c r="E1" s="22" t="s">
        <v>0</v>
      </c>
      <c r="F1" s="22" t="s">
        <v>36</v>
      </c>
      <c r="G1" s="22" t="s">
        <v>37</v>
      </c>
      <c r="H1" s="22" t="s">
        <v>14</v>
      </c>
    </row>
    <row r="2" spans="1:9" x14ac:dyDescent="0.35">
      <c r="A2" t="s">
        <v>90</v>
      </c>
      <c r="B2" t="s">
        <v>91</v>
      </c>
      <c r="C2" t="s">
        <v>33</v>
      </c>
      <c r="D2" s="1">
        <v>0.32</v>
      </c>
      <c r="E2" s="1"/>
      <c r="F2" s="1"/>
      <c r="G2" s="1"/>
      <c r="I2" s="3"/>
    </row>
    <row r="3" spans="1:9" x14ac:dyDescent="0.35">
      <c r="A3" t="s">
        <v>21</v>
      </c>
      <c r="B3" t="s">
        <v>34</v>
      </c>
      <c r="C3" t="s">
        <v>33</v>
      </c>
      <c r="D3" s="1">
        <v>0.70199999999999996</v>
      </c>
      <c r="E3" s="1">
        <v>0.68400000000000005</v>
      </c>
      <c r="F3" s="1">
        <v>1E-3</v>
      </c>
      <c r="G3" s="1">
        <v>0</v>
      </c>
      <c r="H3" s="5" t="s">
        <v>43</v>
      </c>
      <c r="I3" s="3"/>
    </row>
    <row r="4" spans="1:9" x14ac:dyDescent="0.35">
      <c r="A4" t="s">
        <v>22</v>
      </c>
      <c r="B4" t="s">
        <v>34</v>
      </c>
      <c r="C4" t="s">
        <v>33</v>
      </c>
      <c r="D4" s="1">
        <v>2.6520000000000001</v>
      </c>
      <c r="E4" s="1">
        <v>2.61</v>
      </c>
      <c r="F4" s="1">
        <v>0</v>
      </c>
      <c r="G4" s="1">
        <v>0</v>
      </c>
      <c r="H4" s="5" t="s">
        <v>43</v>
      </c>
      <c r="I4" s="3"/>
    </row>
    <row r="5" spans="1:9" x14ac:dyDescent="0.35">
      <c r="A5" t="s">
        <v>23</v>
      </c>
      <c r="B5" t="s">
        <v>34</v>
      </c>
      <c r="C5" t="s">
        <v>33</v>
      </c>
      <c r="D5" s="1">
        <v>0.57499999999999996</v>
      </c>
      <c r="E5" s="1">
        <v>0.55700000000000005</v>
      </c>
      <c r="F5" s="1">
        <v>1E-3</v>
      </c>
      <c r="G5" s="1">
        <v>0</v>
      </c>
      <c r="H5" s="5" t="s">
        <v>44</v>
      </c>
      <c r="I5" s="3"/>
    </row>
    <row r="6" spans="1:9" x14ac:dyDescent="0.35">
      <c r="A6" t="s">
        <v>24</v>
      </c>
      <c r="B6" t="s">
        <v>34</v>
      </c>
      <c r="C6" t="s">
        <v>33</v>
      </c>
      <c r="D6" s="1">
        <v>2.4079999999999999</v>
      </c>
      <c r="E6" s="1">
        <v>2.3980000000000001</v>
      </c>
      <c r="F6" s="1">
        <v>0</v>
      </c>
      <c r="G6" s="1">
        <v>0</v>
      </c>
      <c r="H6" s="5" t="s">
        <v>44</v>
      </c>
      <c r="I6" s="3"/>
    </row>
    <row r="7" spans="1:9" x14ac:dyDescent="0.35">
      <c r="A7" t="s">
        <v>25</v>
      </c>
      <c r="B7" t="s">
        <v>34</v>
      </c>
      <c r="C7" t="s">
        <v>41</v>
      </c>
      <c r="D7" s="4">
        <v>0.88200000000000001</v>
      </c>
      <c r="E7" s="4">
        <v>0.86199999999999999</v>
      </c>
      <c r="F7" s="4">
        <v>1E-3</v>
      </c>
      <c r="G7" s="4">
        <v>0</v>
      </c>
      <c r="H7" s="5" t="s">
        <v>45</v>
      </c>
      <c r="I7" s="3"/>
    </row>
    <row r="8" spans="1:9" x14ac:dyDescent="0.35">
      <c r="A8" t="s">
        <v>26</v>
      </c>
      <c r="B8" t="s">
        <v>34</v>
      </c>
      <c r="C8" t="s">
        <v>41</v>
      </c>
      <c r="D8" s="4">
        <v>3.5219999999999998</v>
      </c>
      <c r="E8" s="4">
        <v>3.4870000000000001</v>
      </c>
      <c r="F8" s="4">
        <v>0</v>
      </c>
      <c r="G8" s="4">
        <v>0</v>
      </c>
      <c r="H8" s="5" t="s">
        <v>45</v>
      </c>
      <c r="I8" s="3"/>
    </row>
    <row r="9" spans="1:9" s="8" customFormat="1" x14ac:dyDescent="0.35">
      <c r="A9" s="8" t="s">
        <v>27</v>
      </c>
      <c r="B9" s="8" t="s">
        <v>47</v>
      </c>
      <c r="C9" s="8" t="s">
        <v>33</v>
      </c>
      <c r="D9" s="9">
        <v>2.1354000000000002</v>
      </c>
      <c r="E9" s="9">
        <v>2.1334</v>
      </c>
      <c r="F9" s="9">
        <v>0</v>
      </c>
      <c r="G9" s="9">
        <v>0</v>
      </c>
      <c r="H9" s="8" t="s">
        <v>42</v>
      </c>
      <c r="I9" s="10"/>
    </row>
    <row r="10" spans="1:9" s="8" customFormat="1" x14ac:dyDescent="0.35">
      <c r="A10" s="8" t="s">
        <v>28</v>
      </c>
      <c r="B10" s="8" t="s">
        <v>47</v>
      </c>
      <c r="C10" s="8" t="s">
        <v>33</v>
      </c>
      <c r="D10" s="9">
        <v>1.6529</v>
      </c>
      <c r="E10" s="9">
        <v>1.6500999999999999</v>
      </c>
      <c r="F10" s="9">
        <v>4.0920360000000001E-6</v>
      </c>
      <c r="G10" s="9">
        <v>1.0230119999999999E-6</v>
      </c>
      <c r="H10" s="8" t="s">
        <v>42</v>
      </c>
      <c r="I10" s="10"/>
    </row>
    <row r="11" spans="1:9" x14ac:dyDescent="0.35">
      <c r="A11" t="s">
        <v>30</v>
      </c>
      <c r="B11" t="s">
        <v>48</v>
      </c>
      <c r="C11" t="s">
        <v>40</v>
      </c>
      <c r="D11" s="7">
        <v>3.6586730957031299E-2</v>
      </c>
    </row>
    <row r="12" spans="1:9" x14ac:dyDescent="0.35">
      <c r="A12" t="s">
        <v>31</v>
      </c>
      <c r="B12" t="s">
        <v>48</v>
      </c>
      <c r="C12" t="s">
        <v>40</v>
      </c>
      <c r="D12" s="11">
        <v>0.169283706665039</v>
      </c>
    </row>
    <row r="13" spans="1:9" x14ac:dyDescent="0.35">
      <c r="A13" t="s">
        <v>32</v>
      </c>
      <c r="B13" t="s">
        <v>48</v>
      </c>
      <c r="C13" t="s">
        <v>40</v>
      </c>
      <c r="D13" s="7">
        <v>3.8247436523437497E-2</v>
      </c>
    </row>
    <row r="14" spans="1:9" x14ac:dyDescent="0.35">
      <c r="A14" t="s">
        <v>39</v>
      </c>
      <c r="B14" t="s">
        <v>48</v>
      </c>
      <c r="C14" t="s">
        <v>40</v>
      </c>
      <c r="D14" s="11">
        <v>0.17334152221679699</v>
      </c>
    </row>
    <row r="15" spans="1:9" x14ac:dyDescent="0.35">
      <c r="A15" t="s">
        <v>58</v>
      </c>
      <c r="B15" t="s">
        <v>48</v>
      </c>
      <c r="C15" t="s">
        <v>40</v>
      </c>
      <c r="D15" s="7">
        <v>2.4369344711303701E-2</v>
      </c>
    </row>
    <row r="16" spans="1:9" x14ac:dyDescent="0.35">
      <c r="A16" t="s">
        <v>59</v>
      </c>
      <c r="B16" t="s">
        <v>48</v>
      </c>
      <c r="C16" t="s">
        <v>40</v>
      </c>
      <c r="D16" s="11">
        <v>8.61766204833984E-2</v>
      </c>
    </row>
    <row r="17" spans="1:4" x14ac:dyDescent="0.35">
      <c r="A17" t="s">
        <v>60</v>
      </c>
      <c r="B17" t="s">
        <v>48</v>
      </c>
      <c r="C17" t="s">
        <v>40</v>
      </c>
      <c r="D17" s="7">
        <v>2.73603458404541E-2</v>
      </c>
    </row>
    <row r="18" spans="1:4" x14ac:dyDescent="0.35">
      <c r="A18" t="s">
        <v>61</v>
      </c>
      <c r="B18" t="s">
        <v>48</v>
      </c>
      <c r="C18" t="s">
        <v>40</v>
      </c>
      <c r="D18" s="11">
        <v>0.168676254272461</v>
      </c>
    </row>
    <row r="19" spans="1:4" x14ac:dyDescent="0.35">
      <c r="A19" t="s">
        <v>64</v>
      </c>
      <c r="B19" t="s">
        <v>48</v>
      </c>
      <c r="C19" t="s">
        <v>40</v>
      </c>
      <c r="D19" s="11">
        <v>4.4479999999999999E-2</v>
      </c>
    </row>
    <row r="20" spans="1:4" x14ac:dyDescent="0.35">
      <c r="A20" t="s">
        <v>65</v>
      </c>
      <c r="B20" t="s">
        <v>48</v>
      </c>
      <c r="C20" t="s">
        <v>40</v>
      </c>
      <c r="D20" s="11">
        <v>9.6420000000000006E-2</v>
      </c>
    </row>
    <row r="21" spans="1:4" x14ac:dyDescent="0.35">
      <c r="A21" t="s">
        <v>66</v>
      </c>
      <c r="B21" t="s">
        <v>79</v>
      </c>
      <c r="C21" t="s">
        <v>40</v>
      </c>
      <c r="D21" s="11">
        <v>3.6999999999999998E-2</v>
      </c>
    </row>
    <row r="22" spans="1:4" x14ac:dyDescent="0.35">
      <c r="A22" t="s">
        <v>67</v>
      </c>
      <c r="B22" t="s">
        <v>79</v>
      </c>
      <c r="C22" t="s">
        <v>40</v>
      </c>
      <c r="D22" s="11">
        <v>0.1668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20" sqref="B20"/>
    </sheetView>
  </sheetViews>
  <sheetFormatPr baseColWidth="10" defaultRowHeight="14.5" x14ac:dyDescent="0.35"/>
  <cols>
    <col min="1" max="1" width="28.1796875" bestFit="1" customWidth="1"/>
    <col min="2" max="2" width="22.7265625" bestFit="1" customWidth="1"/>
    <col min="4" max="4" width="11.81640625" bestFit="1" customWidth="1"/>
  </cols>
  <sheetData>
    <row r="1" spans="1:6" s="8" customFormat="1" x14ac:dyDescent="0.35">
      <c r="A1" s="22" t="s">
        <v>29</v>
      </c>
      <c r="B1" s="22" t="s">
        <v>7</v>
      </c>
      <c r="C1" s="22" t="s">
        <v>9</v>
      </c>
      <c r="D1" s="22" t="s">
        <v>46</v>
      </c>
      <c r="E1" s="22" t="s">
        <v>14</v>
      </c>
    </row>
    <row r="2" spans="1:6" x14ac:dyDescent="0.35">
      <c r="A2" s="6" t="s">
        <v>62</v>
      </c>
      <c r="B2" s="6" t="s">
        <v>63</v>
      </c>
      <c r="C2" s="6" t="s">
        <v>50</v>
      </c>
      <c r="D2" s="7">
        <v>3.4950000000000002E-2</v>
      </c>
      <c r="F2" s="3"/>
    </row>
    <row r="3" spans="1:6" x14ac:dyDescent="0.35">
      <c r="F3" s="3"/>
    </row>
    <row r="4" spans="1:6" x14ac:dyDescent="0.35">
      <c r="F4" s="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1" sqref="C1"/>
    </sheetView>
  </sheetViews>
  <sheetFormatPr baseColWidth="10" defaultRowHeight="14.5" x14ac:dyDescent="0.35"/>
  <cols>
    <col min="2" max="2" width="10.36328125" bestFit="1" customWidth="1"/>
    <col min="10" max="10" width="12.26953125" bestFit="1" customWidth="1"/>
    <col min="11" max="11" width="111.1796875" bestFit="1" customWidth="1"/>
  </cols>
  <sheetData>
    <row r="1" spans="1:11" x14ac:dyDescent="0.35">
      <c r="A1" s="13" t="s">
        <v>29</v>
      </c>
      <c r="B1" s="13"/>
      <c r="C1" s="13" t="s">
        <v>9</v>
      </c>
      <c r="D1" s="14" t="s">
        <v>83</v>
      </c>
      <c r="E1" s="14" t="s">
        <v>87</v>
      </c>
      <c r="F1" s="14" t="s">
        <v>86</v>
      </c>
      <c r="G1" s="14" t="s">
        <v>85</v>
      </c>
      <c r="H1" s="14" t="s">
        <v>84</v>
      </c>
      <c r="I1" s="14" t="s">
        <v>51</v>
      </c>
      <c r="J1" s="14" t="s">
        <v>7</v>
      </c>
      <c r="K1" s="14" t="s">
        <v>14</v>
      </c>
    </row>
    <row r="2" spans="1:11" x14ac:dyDescent="0.35">
      <c r="A2" s="13" t="s">
        <v>52</v>
      </c>
      <c r="B2" s="12" t="s">
        <v>53</v>
      </c>
      <c r="C2" s="17" t="s">
        <v>54</v>
      </c>
      <c r="D2" s="15">
        <v>24.9</v>
      </c>
      <c r="E2" s="18">
        <v>24.298486491764038</v>
      </c>
      <c r="F2" s="18">
        <v>20.332665709496421</v>
      </c>
      <c r="G2" s="18">
        <v>19.40642996611448</v>
      </c>
      <c r="H2" s="18">
        <v>26.909998733866956</v>
      </c>
      <c r="I2" s="18">
        <v>27.592625814677298</v>
      </c>
      <c r="J2" t="s">
        <v>49</v>
      </c>
      <c r="K2" s="20" t="s">
        <v>80</v>
      </c>
    </row>
    <row r="3" spans="1:11" ht="16.5" customHeight="1" x14ac:dyDescent="0.35">
      <c r="A3" s="13" t="s">
        <v>55</v>
      </c>
      <c r="B3" s="12" t="s">
        <v>56</v>
      </c>
      <c r="C3" s="12" t="s">
        <v>50</v>
      </c>
      <c r="D3" s="16">
        <v>0.14247060480206819</v>
      </c>
      <c r="E3" s="19">
        <v>0.15753314352060785</v>
      </c>
      <c r="F3" s="19">
        <v>0.14420984626580757</v>
      </c>
      <c r="G3" s="19">
        <v>0.14500879369055106</v>
      </c>
      <c r="H3" s="19">
        <v>0.16797929441323994</v>
      </c>
      <c r="I3" s="19">
        <v>0.2015700993627825</v>
      </c>
      <c r="J3" t="s">
        <v>49</v>
      </c>
      <c r="K3" s="21" t="s">
        <v>81</v>
      </c>
    </row>
    <row r="4" spans="1:11" x14ac:dyDescent="0.35">
      <c r="A4" s="13" t="s">
        <v>55</v>
      </c>
      <c r="B4" s="12" t="s">
        <v>57</v>
      </c>
      <c r="C4" s="12" t="s">
        <v>50</v>
      </c>
      <c r="D4" s="19">
        <v>0.14247059745612781</v>
      </c>
      <c r="E4" s="19">
        <v>9.6821151254149806E-2</v>
      </c>
      <c r="F4" s="19">
        <v>6.8535235793992261E-2</v>
      </c>
      <c r="G4" s="19">
        <v>6.4420966367728968E-2</v>
      </c>
      <c r="H4" s="19">
        <v>7.2184810162496338E-2</v>
      </c>
      <c r="I4" s="19">
        <v>8.5704523520159226E-2</v>
      </c>
      <c r="J4" t="s">
        <v>49</v>
      </c>
      <c r="K4" s="20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G6" sqref="G6"/>
    </sheetView>
  </sheetViews>
  <sheetFormatPr baseColWidth="10" defaultRowHeight="14.5" x14ac:dyDescent="0.35"/>
  <sheetData>
    <row r="1" spans="1:4" x14ac:dyDescent="0.35">
      <c r="A1" s="22" t="s">
        <v>29</v>
      </c>
      <c r="B1" s="22" t="s">
        <v>7</v>
      </c>
      <c r="C1" s="22" t="s">
        <v>9</v>
      </c>
      <c r="D1" s="22" t="s">
        <v>46</v>
      </c>
    </row>
    <row r="2" spans="1:4" x14ac:dyDescent="0.35">
      <c r="A2" t="s">
        <v>68</v>
      </c>
      <c r="B2" t="s">
        <v>70</v>
      </c>
      <c r="C2" t="s">
        <v>13</v>
      </c>
      <c r="D2">
        <v>0.35</v>
      </c>
    </row>
    <row r="3" spans="1:4" x14ac:dyDescent="0.35">
      <c r="A3" t="s">
        <v>69</v>
      </c>
      <c r="B3" t="s">
        <v>70</v>
      </c>
      <c r="C3" t="s">
        <v>13</v>
      </c>
      <c r="D3">
        <v>0.19900000000000001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1" sqref="C11"/>
    </sheetView>
  </sheetViews>
  <sheetFormatPr baseColWidth="10" defaultRowHeight="14.5" x14ac:dyDescent="0.35"/>
  <cols>
    <col min="2" max="2" width="36.453125" customWidth="1"/>
  </cols>
  <sheetData>
    <row r="1" spans="1:4" x14ac:dyDescent="0.35">
      <c r="A1" s="28" t="s">
        <v>7</v>
      </c>
      <c r="B1" s="28" t="s">
        <v>123</v>
      </c>
      <c r="C1" s="29" t="s">
        <v>124</v>
      </c>
      <c r="D1" s="28" t="s">
        <v>125</v>
      </c>
    </row>
    <row r="2" spans="1:4" x14ac:dyDescent="0.35">
      <c r="A2" t="s">
        <v>8</v>
      </c>
      <c r="B2" t="s">
        <v>126</v>
      </c>
      <c r="C2" s="30" t="s">
        <v>127</v>
      </c>
      <c r="D2">
        <v>2021</v>
      </c>
    </row>
    <row r="3" spans="1:4" x14ac:dyDescent="0.35">
      <c r="A3" t="s">
        <v>70</v>
      </c>
      <c r="B3" s="31" t="s">
        <v>128</v>
      </c>
      <c r="C3" s="30" t="s">
        <v>129</v>
      </c>
      <c r="D3">
        <v>2023</v>
      </c>
    </row>
    <row r="4" spans="1:4" x14ac:dyDescent="0.35">
      <c r="A4" t="s">
        <v>130</v>
      </c>
      <c r="B4" t="s">
        <v>131</v>
      </c>
      <c r="C4" s="30"/>
      <c r="D4">
        <v>2021</v>
      </c>
    </row>
  </sheetData>
  <hyperlinks>
    <hyperlink ref="B3" r:id="rId1" display="https://www.gov.uk/government/publications/greenhouse-gas-reporting-conversion-factors-202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Gebäude</vt:lpstr>
      <vt:lpstr>Dienstreisen PKW</vt:lpstr>
      <vt:lpstr>Bahnreisen</vt:lpstr>
      <vt:lpstr>Flugreisen</vt:lpstr>
      <vt:lpstr>Biogene Out of Scope Emissionen</vt:lpstr>
      <vt:lpstr>Quellen Links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Schuchmann, Wiebke</dc:creator>
  <cp:lastModifiedBy>Schuchmann, Wiebke</cp:lastModifiedBy>
  <dcterms:created xsi:type="dcterms:W3CDTF">2024-01-11T07:13:02Z</dcterms:created>
  <dcterms:modified xsi:type="dcterms:W3CDTF">2025-01-06T09:09:43Z</dcterms:modified>
</cp:coreProperties>
</file>