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1.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2.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6.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7.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2.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3.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4.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35.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6.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7.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LANUV\Abt7\FB72\AbfAblagerung&amp;Lagerung\Deponiebetrieb\71_DepÜberwachung\2005 Auslöseschwellen\2018 Arbeitshilfe\"/>
    </mc:Choice>
  </mc:AlternateContent>
  <bookViews>
    <workbookView xWindow="-30" yWindow="165" windowWidth="15360" windowHeight="9660" tabRatio="692" firstSheet="16" activeTab="27"/>
  </bookViews>
  <sheets>
    <sheet name="pH" sheetId="44" r:id="rId1"/>
    <sheet name="eLF" sheetId="45" r:id="rId2"/>
    <sheet name="Natrium" sheetId="86" r:id="rId3"/>
    <sheet name="Kalium" sheetId="87" r:id="rId4"/>
    <sheet name="Magnesium" sheetId="88" r:id="rId5"/>
    <sheet name="Calcium" sheetId="89" r:id="rId6"/>
    <sheet name="Ngesamt" sheetId="95" r:id="rId7"/>
    <sheet name="Nitrat" sheetId="90" r:id="rId8"/>
    <sheet name="Ammonium" sheetId="91" r:id="rId9"/>
    <sheet name="Sulfat" sheetId="92" r:id="rId10"/>
    <sheet name="Chlorid" sheetId="93" r:id="rId11"/>
    <sheet name="TOC" sheetId="96" r:id="rId12"/>
    <sheet name="Fluorid" sheetId="97" r:id="rId13"/>
    <sheet name="Cyanid, lfr" sheetId="98" r:id="rId14"/>
    <sheet name="Cyanid" sheetId="99" r:id="rId15"/>
    <sheet name="Bor" sheetId="100" r:id="rId16"/>
    <sheet name="KW" sheetId="101" r:id="rId17"/>
    <sheet name="PAK" sheetId="102" r:id="rId18"/>
    <sheet name="AOX" sheetId="104" r:id="rId19"/>
    <sheet name="Arsen" sheetId="105" r:id="rId20"/>
    <sheet name="Blei" sheetId="106" r:id="rId21"/>
    <sheet name="Cadmium" sheetId="107" r:id="rId22"/>
    <sheet name="Chrom ges" sheetId="108" r:id="rId23"/>
    <sheet name="Kupfer" sheetId="109" r:id="rId24"/>
    <sheet name="Molybdän" sheetId="110" r:id="rId25"/>
    <sheet name="Nickel" sheetId="111" r:id="rId26"/>
    <sheet name="Quecksilber" sheetId="112" r:id="rId27"/>
    <sheet name="Zink" sheetId="113" r:id="rId28"/>
    <sheet name="frei 1" sheetId="115" r:id="rId29"/>
    <sheet name="frei 2" sheetId="116" r:id="rId30"/>
    <sheet name="frei 3" sheetId="117" r:id="rId31"/>
    <sheet name="frei 4" sheetId="118" r:id="rId32"/>
    <sheet name="frei 5" sheetId="119" r:id="rId33"/>
    <sheet name="trend 1" sheetId="43" r:id="rId34"/>
    <sheet name="trend 2" sheetId="120" r:id="rId35"/>
    <sheet name="trend 3" sheetId="121" r:id="rId36"/>
    <sheet name="trend 4" sheetId="122" r:id="rId37"/>
    <sheet name="Impressum" sheetId="123" r:id="rId38"/>
    <sheet name="XX" sheetId="85" r:id="rId39"/>
  </sheets>
  <definedNames>
    <definedName name="_xlnm.Print_Area" localSheetId="8">Ammonium!$A$1:$L$43</definedName>
    <definedName name="_xlnm.Print_Area" localSheetId="18">AOX!$A$1:$L$43</definedName>
    <definedName name="_xlnm.Print_Area" localSheetId="19">Arsen!$A$1:$L$43</definedName>
    <definedName name="_xlnm.Print_Area" localSheetId="20">Blei!$A$1:$L$43</definedName>
    <definedName name="_xlnm.Print_Area" localSheetId="15">Bor!$A$1:$L$43</definedName>
    <definedName name="_xlnm.Print_Area" localSheetId="21">Cadmium!$A$1:$L$43</definedName>
    <definedName name="_xlnm.Print_Area" localSheetId="5">Calcium!$A$1:$L$43</definedName>
    <definedName name="_xlnm.Print_Area" localSheetId="10">Chlorid!$A$1:$L$43</definedName>
    <definedName name="_xlnm.Print_Area" localSheetId="22">'Chrom ges'!$A$1:$L$43</definedName>
    <definedName name="_xlnm.Print_Area" localSheetId="14">Cyanid!$A$1:$L$43</definedName>
    <definedName name="_xlnm.Print_Area" localSheetId="13">'Cyanid, lfr'!$A$1:$L$43</definedName>
    <definedName name="_xlnm.Print_Area" localSheetId="1">eLF!$A$1:$L$43</definedName>
    <definedName name="_xlnm.Print_Area" localSheetId="12">Fluorid!$A$1:$L$43</definedName>
    <definedName name="_xlnm.Print_Area" localSheetId="28">'frei 1'!$A$1:$L$43</definedName>
    <definedName name="_xlnm.Print_Area" localSheetId="29">'frei 2'!$A$1:$L$43</definedName>
    <definedName name="_xlnm.Print_Area" localSheetId="30">'frei 3'!$A$1:$L$43</definedName>
    <definedName name="_xlnm.Print_Area" localSheetId="31">'frei 4'!$A$1:$L$43</definedName>
    <definedName name="_xlnm.Print_Area" localSheetId="32">'frei 5'!$A$1:$L$43</definedName>
    <definedName name="_xlnm.Print_Area" localSheetId="3">Kalium!$A$1:$L$43</definedName>
    <definedName name="_xlnm.Print_Area" localSheetId="23">Kupfer!$A$1:$L$43</definedName>
    <definedName name="_xlnm.Print_Area" localSheetId="16">KW!$A$1:$L$43</definedName>
    <definedName name="_xlnm.Print_Area" localSheetId="4">Magnesium!$A$1:$L$43</definedName>
    <definedName name="_xlnm.Print_Area" localSheetId="24">Molybdän!$A$1:$L$43</definedName>
    <definedName name="_xlnm.Print_Area" localSheetId="2">Natrium!$A$1:$L$43</definedName>
    <definedName name="_xlnm.Print_Area" localSheetId="6">Ngesamt!$A$1:$L$43</definedName>
    <definedName name="_xlnm.Print_Area" localSheetId="25">Nickel!$A$1:$L$43</definedName>
    <definedName name="_xlnm.Print_Area" localSheetId="7">Nitrat!$A$1:$L$43</definedName>
    <definedName name="_xlnm.Print_Area" localSheetId="17">PAK!$A$1:$L$43</definedName>
    <definedName name="_xlnm.Print_Area" localSheetId="0">pH!$A$1:$L$43</definedName>
    <definedName name="_xlnm.Print_Area" localSheetId="26">Quecksilber!$A$1:$L$43</definedName>
    <definedName name="_xlnm.Print_Area" localSheetId="9">Sulfat!$A$1:$L$43</definedName>
    <definedName name="_xlnm.Print_Area" localSheetId="11">TOC!$A$1:$L$43</definedName>
    <definedName name="_xlnm.Print_Area" localSheetId="33">'trend 1'!$A$1:$O$50</definedName>
    <definedName name="_xlnm.Print_Area" localSheetId="34">'trend 2'!$A$1:$O$50</definedName>
    <definedName name="_xlnm.Print_Area" localSheetId="35">'trend 3'!$A$1:$O$50</definedName>
    <definedName name="_xlnm.Print_Area" localSheetId="36">'trend 4'!$A$1:$O$50</definedName>
    <definedName name="_xlnm.Print_Area" localSheetId="27">Zink!$A$1:$L$43</definedName>
    <definedName name="Z_4DB53354_9304_4D29_9D44_F7F82D0F18C9_.wvu.PrintArea" localSheetId="8" hidden="1">Ammonium!$A$1:$L$44</definedName>
    <definedName name="Z_4DB53354_9304_4D29_9D44_F7F82D0F18C9_.wvu.PrintArea" localSheetId="18" hidden="1">AOX!$A$1:$L$44</definedName>
    <definedName name="Z_4DB53354_9304_4D29_9D44_F7F82D0F18C9_.wvu.PrintArea" localSheetId="19" hidden="1">Arsen!$A$1:$L$44</definedName>
    <definedName name="Z_4DB53354_9304_4D29_9D44_F7F82D0F18C9_.wvu.PrintArea" localSheetId="20" hidden="1">Blei!$A$1:$L$44</definedName>
    <definedName name="Z_4DB53354_9304_4D29_9D44_F7F82D0F18C9_.wvu.PrintArea" localSheetId="15" hidden="1">Bor!$A$1:$L$44</definedName>
    <definedName name="Z_4DB53354_9304_4D29_9D44_F7F82D0F18C9_.wvu.PrintArea" localSheetId="21" hidden="1">Cadmium!$A$1:$L$44</definedName>
    <definedName name="Z_4DB53354_9304_4D29_9D44_F7F82D0F18C9_.wvu.PrintArea" localSheetId="5" hidden="1">Calcium!$A$1:$L$44</definedName>
    <definedName name="Z_4DB53354_9304_4D29_9D44_F7F82D0F18C9_.wvu.PrintArea" localSheetId="10" hidden="1">Chlorid!$A$1:$L$44</definedName>
    <definedName name="Z_4DB53354_9304_4D29_9D44_F7F82D0F18C9_.wvu.PrintArea" localSheetId="22" hidden="1">'Chrom ges'!$A$1:$L$44</definedName>
    <definedName name="Z_4DB53354_9304_4D29_9D44_F7F82D0F18C9_.wvu.PrintArea" localSheetId="14" hidden="1">Cyanid!$A$1:$L$44</definedName>
    <definedName name="Z_4DB53354_9304_4D29_9D44_F7F82D0F18C9_.wvu.PrintArea" localSheetId="13" hidden="1">'Cyanid, lfr'!$A$1:$L$44</definedName>
    <definedName name="Z_4DB53354_9304_4D29_9D44_F7F82D0F18C9_.wvu.PrintArea" localSheetId="1" hidden="1">eLF!$A$1:$L$44</definedName>
    <definedName name="Z_4DB53354_9304_4D29_9D44_F7F82D0F18C9_.wvu.PrintArea" localSheetId="12" hidden="1">Fluorid!$A$1:$L$44</definedName>
    <definedName name="Z_4DB53354_9304_4D29_9D44_F7F82D0F18C9_.wvu.PrintArea" localSheetId="28" hidden="1">'frei 1'!$A$1:$L$44</definedName>
    <definedName name="Z_4DB53354_9304_4D29_9D44_F7F82D0F18C9_.wvu.PrintArea" localSheetId="29" hidden="1">'frei 2'!$A$1:$L$44</definedName>
    <definedName name="Z_4DB53354_9304_4D29_9D44_F7F82D0F18C9_.wvu.PrintArea" localSheetId="30" hidden="1">'frei 3'!$A$1:$L$44</definedName>
    <definedName name="Z_4DB53354_9304_4D29_9D44_F7F82D0F18C9_.wvu.PrintArea" localSheetId="31" hidden="1">'frei 4'!$A$1:$L$44</definedName>
    <definedName name="Z_4DB53354_9304_4D29_9D44_F7F82D0F18C9_.wvu.PrintArea" localSheetId="32" hidden="1">'frei 5'!$A$1:$L$44</definedName>
    <definedName name="Z_4DB53354_9304_4D29_9D44_F7F82D0F18C9_.wvu.PrintArea" localSheetId="3" hidden="1">Kalium!$A$1:$L$44</definedName>
    <definedName name="Z_4DB53354_9304_4D29_9D44_F7F82D0F18C9_.wvu.PrintArea" localSheetId="23" hidden="1">Kupfer!$A$1:$L$44</definedName>
    <definedName name="Z_4DB53354_9304_4D29_9D44_F7F82D0F18C9_.wvu.PrintArea" localSheetId="16" hidden="1">KW!$A$1:$L$44</definedName>
    <definedName name="Z_4DB53354_9304_4D29_9D44_F7F82D0F18C9_.wvu.PrintArea" localSheetId="4" hidden="1">Magnesium!$A$1:$L$44</definedName>
    <definedName name="Z_4DB53354_9304_4D29_9D44_F7F82D0F18C9_.wvu.PrintArea" localSheetId="24" hidden="1">Molybdän!$A$1:$L$44</definedName>
    <definedName name="Z_4DB53354_9304_4D29_9D44_F7F82D0F18C9_.wvu.PrintArea" localSheetId="2" hidden="1">Natrium!$A$1:$L$44</definedName>
    <definedName name="Z_4DB53354_9304_4D29_9D44_F7F82D0F18C9_.wvu.PrintArea" localSheetId="6" hidden="1">Ngesamt!$A$1:$L$44</definedName>
    <definedName name="Z_4DB53354_9304_4D29_9D44_F7F82D0F18C9_.wvu.PrintArea" localSheetId="25" hidden="1">Nickel!$A$1:$L$44</definedName>
    <definedName name="Z_4DB53354_9304_4D29_9D44_F7F82D0F18C9_.wvu.PrintArea" localSheetId="7" hidden="1">Nitrat!$A$1:$L$44</definedName>
    <definedName name="Z_4DB53354_9304_4D29_9D44_F7F82D0F18C9_.wvu.PrintArea" localSheetId="17" hidden="1">PAK!$A$1:$L$44</definedName>
    <definedName name="Z_4DB53354_9304_4D29_9D44_F7F82D0F18C9_.wvu.PrintArea" localSheetId="0" hidden="1">pH!$A$1:$L$44</definedName>
    <definedName name="Z_4DB53354_9304_4D29_9D44_F7F82D0F18C9_.wvu.PrintArea" localSheetId="26" hidden="1">Quecksilber!$A$1:$L$44</definedName>
    <definedName name="Z_4DB53354_9304_4D29_9D44_F7F82D0F18C9_.wvu.PrintArea" localSheetId="9" hidden="1">Sulfat!$A$1:$L$44</definedName>
    <definedName name="Z_4DB53354_9304_4D29_9D44_F7F82D0F18C9_.wvu.PrintArea" localSheetId="11" hidden="1">TOC!$A$1:$L$44</definedName>
    <definedName name="Z_4DB53354_9304_4D29_9D44_F7F82D0F18C9_.wvu.PrintArea" localSheetId="33" hidden="1">'trend 1'!$A$1:$L$44</definedName>
    <definedName name="Z_4DB53354_9304_4D29_9D44_F7F82D0F18C9_.wvu.PrintArea" localSheetId="34" hidden="1">'trend 2'!$A$1:$L$44</definedName>
    <definedName name="Z_4DB53354_9304_4D29_9D44_F7F82D0F18C9_.wvu.PrintArea" localSheetId="35" hidden="1">'trend 3'!$A$1:$L$44</definedName>
    <definedName name="Z_4DB53354_9304_4D29_9D44_F7F82D0F18C9_.wvu.PrintArea" localSheetId="36" hidden="1">'trend 4'!$A$1:$L$44</definedName>
    <definedName name="Z_4DB53354_9304_4D29_9D44_F7F82D0F18C9_.wvu.PrintArea" localSheetId="27" hidden="1">Zink!$A$1:$L$44</definedName>
  </definedNames>
  <calcPr calcId="162913"/>
  <customWorkbookViews>
    <customWorkbookView name="Michael Tiedt - Persönliche Ansicht" guid="{4DB53354-9304-4D29-9D44-F7F82D0F18C9}" mergeInterval="0" personalView="1" maximized="1" windowWidth="1263" windowHeight="822" tabRatio="692" activeSheetId="10"/>
  </customWorkbookViews>
</workbook>
</file>

<file path=xl/calcChain.xml><?xml version="1.0" encoding="utf-8"?>
<calcChain xmlns="http://schemas.openxmlformats.org/spreadsheetml/2006/main">
  <c r="S252" i="122" l="1"/>
  <c r="R252" i="122"/>
  <c r="S251" i="122"/>
  <c r="R251" i="122"/>
  <c r="S250" i="122"/>
  <c r="R250" i="122"/>
  <c r="S249" i="122"/>
  <c r="R249" i="122"/>
  <c r="S248" i="122"/>
  <c r="R248" i="122"/>
  <c r="S247" i="122"/>
  <c r="R247" i="122"/>
  <c r="S246" i="122"/>
  <c r="R246" i="122"/>
  <c r="S245" i="122"/>
  <c r="R245" i="122"/>
  <c r="S244" i="122"/>
  <c r="R244" i="122"/>
  <c r="S243" i="122"/>
  <c r="R243" i="122"/>
  <c r="S242" i="122"/>
  <c r="R242" i="122"/>
  <c r="S241" i="122"/>
  <c r="R241" i="122"/>
  <c r="S240" i="122"/>
  <c r="R240" i="122"/>
  <c r="S239" i="122"/>
  <c r="R239" i="122"/>
  <c r="S238" i="122"/>
  <c r="R238" i="122"/>
  <c r="S237" i="122"/>
  <c r="R237" i="122"/>
  <c r="S236" i="122"/>
  <c r="R236" i="122"/>
  <c r="S235" i="122"/>
  <c r="R235" i="122"/>
  <c r="S234" i="122"/>
  <c r="R234" i="122"/>
  <c r="S233" i="122"/>
  <c r="R233" i="122"/>
  <c r="S232" i="122"/>
  <c r="R232" i="122"/>
  <c r="S231" i="122"/>
  <c r="R231" i="122"/>
  <c r="S230" i="122"/>
  <c r="R230" i="122"/>
  <c r="S229" i="122"/>
  <c r="R229" i="122"/>
  <c r="S228" i="122"/>
  <c r="R228" i="122"/>
  <c r="S227" i="122"/>
  <c r="R227" i="122"/>
  <c r="S226" i="122"/>
  <c r="R226" i="122"/>
  <c r="S225" i="122"/>
  <c r="R225" i="122"/>
  <c r="S224" i="122"/>
  <c r="R224" i="122"/>
  <c r="S223" i="122"/>
  <c r="R223" i="122"/>
  <c r="S222" i="122"/>
  <c r="R222" i="122"/>
  <c r="S221" i="122"/>
  <c r="R221" i="122"/>
  <c r="S220" i="122"/>
  <c r="R220" i="122"/>
  <c r="S219" i="122"/>
  <c r="R219" i="122"/>
  <c r="S218" i="122"/>
  <c r="R218" i="122"/>
  <c r="S217" i="122"/>
  <c r="R217" i="122"/>
  <c r="S216" i="122"/>
  <c r="R216" i="122"/>
  <c r="S215" i="122"/>
  <c r="R215" i="122"/>
  <c r="S214" i="122"/>
  <c r="R214" i="122"/>
  <c r="S213" i="122"/>
  <c r="R213" i="122"/>
  <c r="S212" i="122"/>
  <c r="R212" i="122"/>
  <c r="S211" i="122"/>
  <c r="R211" i="122"/>
  <c r="S210" i="122"/>
  <c r="R210" i="122"/>
  <c r="S209" i="122"/>
  <c r="R209" i="122"/>
  <c r="S208" i="122"/>
  <c r="R208" i="122"/>
  <c r="S207" i="122"/>
  <c r="R207" i="122"/>
  <c r="S206" i="122"/>
  <c r="R206" i="122"/>
  <c r="S205" i="122"/>
  <c r="R205" i="122"/>
  <c r="S204" i="122"/>
  <c r="R204" i="122"/>
  <c r="S203" i="122"/>
  <c r="R203" i="122"/>
  <c r="S202" i="122"/>
  <c r="R202" i="122"/>
  <c r="S201" i="122"/>
  <c r="R201" i="122"/>
  <c r="S200" i="122"/>
  <c r="R200" i="122"/>
  <c r="S199" i="122"/>
  <c r="R199" i="122"/>
  <c r="S198" i="122"/>
  <c r="R198" i="122"/>
  <c r="S197" i="122"/>
  <c r="R197" i="122"/>
  <c r="S196" i="122"/>
  <c r="R196" i="122"/>
  <c r="S195" i="122"/>
  <c r="R195" i="122"/>
  <c r="S194" i="122"/>
  <c r="R194" i="122"/>
  <c r="S193" i="122"/>
  <c r="R193" i="122"/>
  <c r="S192" i="122"/>
  <c r="R192" i="122"/>
  <c r="S191" i="122"/>
  <c r="R191" i="122"/>
  <c r="S190" i="122"/>
  <c r="R190" i="122"/>
  <c r="S189" i="122"/>
  <c r="R189" i="122"/>
  <c r="S188" i="122"/>
  <c r="R188" i="122"/>
  <c r="S187" i="122"/>
  <c r="R187" i="122"/>
  <c r="S186" i="122"/>
  <c r="R186" i="122"/>
  <c r="S185" i="122"/>
  <c r="R185" i="122"/>
  <c r="S184" i="122"/>
  <c r="R184" i="122"/>
  <c r="S183" i="122"/>
  <c r="R183" i="122"/>
  <c r="S182" i="122"/>
  <c r="R182" i="122"/>
  <c r="S181" i="122"/>
  <c r="R181" i="122"/>
  <c r="S180" i="122"/>
  <c r="R180" i="122"/>
  <c r="S179" i="122"/>
  <c r="R179" i="122"/>
  <c r="S178" i="122"/>
  <c r="R178" i="122"/>
  <c r="S177" i="122"/>
  <c r="R177" i="122"/>
  <c r="S176" i="122"/>
  <c r="R176" i="122"/>
  <c r="S175" i="122"/>
  <c r="R175" i="122"/>
  <c r="S174" i="122"/>
  <c r="R174" i="122"/>
  <c r="S173" i="122"/>
  <c r="R173" i="122"/>
  <c r="S172" i="122"/>
  <c r="R172" i="122"/>
  <c r="S171" i="122"/>
  <c r="R171" i="122"/>
  <c r="S170" i="122"/>
  <c r="R170" i="122"/>
  <c r="S169" i="122"/>
  <c r="R169" i="122"/>
  <c r="S168" i="122"/>
  <c r="R168" i="122"/>
  <c r="S167" i="122"/>
  <c r="R167" i="122"/>
  <c r="S166" i="122"/>
  <c r="R166" i="122"/>
  <c r="S165" i="122"/>
  <c r="R165" i="122"/>
  <c r="S164" i="122"/>
  <c r="R164" i="122"/>
  <c r="S163" i="122"/>
  <c r="R163" i="122"/>
  <c r="S162" i="122"/>
  <c r="R162" i="122"/>
  <c r="S161" i="122"/>
  <c r="R161" i="122"/>
  <c r="S160" i="122"/>
  <c r="R160" i="122"/>
  <c r="S159" i="122"/>
  <c r="R159" i="122"/>
  <c r="S158" i="122"/>
  <c r="R158" i="122"/>
  <c r="S157" i="122"/>
  <c r="R157" i="122"/>
  <c r="S156" i="122"/>
  <c r="R156" i="122"/>
  <c r="S155" i="122"/>
  <c r="R155" i="122"/>
  <c r="S154" i="122"/>
  <c r="R154" i="122"/>
  <c r="S153" i="122"/>
  <c r="R153" i="122"/>
  <c r="S152" i="122"/>
  <c r="R152" i="122"/>
  <c r="S151" i="122"/>
  <c r="R151" i="122"/>
  <c r="S150" i="122"/>
  <c r="R150" i="122"/>
  <c r="S149" i="122"/>
  <c r="R149" i="122"/>
  <c r="S148" i="122"/>
  <c r="R148" i="122"/>
  <c r="S147" i="122"/>
  <c r="R147" i="122"/>
  <c r="S146" i="122"/>
  <c r="R146" i="122"/>
  <c r="S145" i="122"/>
  <c r="R145" i="122"/>
  <c r="S144" i="122"/>
  <c r="R144" i="122"/>
  <c r="S143" i="122"/>
  <c r="R143" i="122"/>
  <c r="S142" i="122"/>
  <c r="R142" i="122"/>
  <c r="S141" i="122"/>
  <c r="R141" i="122"/>
  <c r="S140" i="122"/>
  <c r="R140" i="122"/>
  <c r="S139" i="122"/>
  <c r="R139" i="122"/>
  <c r="S138" i="122"/>
  <c r="R138" i="122"/>
  <c r="S137" i="122"/>
  <c r="R137" i="122"/>
  <c r="S136" i="122"/>
  <c r="R136" i="122"/>
  <c r="S135" i="122"/>
  <c r="R135" i="122"/>
  <c r="S134" i="122"/>
  <c r="R134" i="122"/>
  <c r="S133" i="122"/>
  <c r="R133" i="122"/>
  <c r="S132" i="122"/>
  <c r="R132" i="122"/>
  <c r="S131" i="122"/>
  <c r="R131" i="122"/>
  <c r="S130" i="122"/>
  <c r="R130" i="122"/>
  <c r="S129" i="122"/>
  <c r="R129" i="122"/>
  <c r="S128" i="122"/>
  <c r="R128" i="122"/>
  <c r="S127" i="122"/>
  <c r="R127" i="122"/>
  <c r="S126" i="122"/>
  <c r="R126" i="122"/>
  <c r="S125" i="122"/>
  <c r="R125" i="122"/>
  <c r="S124" i="122"/>
  <c r="R124" i="122"/>
  <c r="S123" i="122"/>
  <c r="R123" i="122"/>
  <c r="S122" i="122"/>
  <c r="R122" i="122"/>
  <c r="S121" i="122"/>
  <c r="R121" i="122"/>
  <c r="S120" i="122"/>
  <c r="R120" i="122"/>
  <c r="S119" i="122"/>
  <c r="R119" i="122"/>
  <c r="S118" i="122"/>
  <c r="R118" i="122"/>
  <c r="S117" i="122"/>
  <c r="R117" i="122"/>
  <c r="S116" i="122"/>
  <c r="R116" i="122"/>
  <c r="S115" i="122"/>
  <c r="R115" i="122"/>
  <c r="S114" i="122"/>
  <c r="R114" i="122"/>
  <c r="B114" i="122"/>
  <c r="S113" i="122"/>
  <c r="R113" i="122"/>
  <c r="S112" i="122"/>
  <c r="R112" i="122"/>
  <c r="S111" i="122"/>
  <c r="R111" i="122"/>
  <c r="S110" i="122"/>
  <c r="R110" i="122"/>
  <c r="S109" i="122"/>
  <c r="R109" i="122"/>
  <c r="S108" i="122"/>
  <c r="R108" i="122"/>
  <c r="S107" i="122"/>
  <c r="R107" i="122"/>
  <c r="S106" i="122"/>
  <c r="R106" i="122"/>
  <c r="B106" i="122"/>
  <c r="A106" i="122"/>
  <c r="S105" i="122"/>
  <c r="R105" i="122"/>
  <c r="B105" i="122"/>
  <c r="A105" i="122"/>
  <c r="S104" i="122"/>
  <c r="R104" i="122"/>
  <c r="B104" i="122"/>
  <c r="S103" i="122"/>
  <c r="R103" i="122"/>
  <c r="F103" i="122"/>
  <c r="C103" i="122"/>
  <c r="S102" i="122"/>
  <c r="R102" i="122"/>
  <c r="F102" i="122"/>
  <c r="B102" i="122"/>
  <c r="S101" i="122"/>
  <c r="R101" i="122"/>
  <c r="S100" i="122"/>
  <c r="R100" i="122"/>
  <c r="S99" i="122"/>
  <c r="R99" i="122"/>
  <c r="S98" i="122"/>
  <c r="R98" i="122"/>
  <c r="S97" i="122"/>
  <c r="R97" i="122"/>
  <c r="S96" i="122"/>
  <c r="R96" i="122"/>
  <c r="S95" i="122"/>
  <c r="R95" i="122"/>
  <c r="S94" i="122"/>
  <c r="R94" i="122"/>
  <c r="S93" i="122"/>
  <c r="R93" i="122"/>
  <c r="S92" i="122"/>
  <c r="R92" i="122"/>
  <c r="S91" i="122"/>
  <c r="R91" i="122"/>
  <c r="S90" i="122"/>
  <c r="R90" i="122"/>
  <c r="S89" i="122"/>
  <c r="R89" i="122"/>
  <c r="S88" i="122"/>
  <c r="R88" i="122"/>
  <c r="S87" i="122"/>
  <c r="R87" i="122"/>
  <c r="S86" i="122"/>
  <c r="R86" i="122"/>
  <c r="S85" i="122"/>
  <c r="R85" i="122"/>
  <c r="S84" i="122"/>
  <c r="R84" i="122"/>
  <c r="S83" i="122"/>
  <c r="R83" i="122"/>
  <c r="S82" i="122"/>
  <c r="R82" i="122"/>
  <c r="S81" i="122"/>
  <c r="R81" i="122"/>
  <c r="S80" i="122"/>
  <c r="R80" i="122"/>
  <c r="S79" i="122"/>
  <c r="R79" i="122"/>
  <c r="S78" i="122"/>
  <c r="R78" i="122"/>
  <c r="S77" i="122"/>
  <c r="R77" i="122"/>
  <c r="S76" i="122"/>
  <c r="R76" i="122"/>
  <c r="S75" i="122"/>
  <c r="R75" i="122"/>
  <c r="S74" i="122"/>
  <c r="R74" i="122"/>
  <c r="S73" i="122"/>
  <c r="R73" i="122"/>
  <c r="S72" i="122"/>
  <c r="R72" i="122"/>
  <c r="S71" i="122"/>
  <c r="R71" i="122"/>
  <c r="S70" i="122"/>
  <c r="R70" i="122"/>
  <c r="S69" i="122"/>
  <c r="R69" i="122"/>
  <c r="S68" i="122"/>
  <c r="R68" i="122"/>
  <c r="S67" i="122"/>
  <c r="R67" i="122"/>
  <c r="S66" i="122"/>
  <c r="R66" i="122"/>
  <c r="S65" i="122"/>
  <c r="R65" i="122"/>
  <c r="S64" i="122"/>
  <c r="R64" i="122"/>
  <c r="S63" i="122"/>
  <c r="R63" i="122"/>
  <c r="S62" i="122"/>
  <c r="R62" i="122"/>
  <c r="S61" i="122"/>
  <c r="R61" i="122"/>
  <c r="S60" i="122"/>
  <c r="R60" i="122"/>
  <c r="S59" i="122"/>
  <c r="R59" i="122"/>
  <c r="S58" i="122"/>
  <c r="R58" i="122"/>
  <c r="S57" i="122"/>
  <c r="R57" i="122"/>
  <c r="S56" i="122"/>
  <c r="R56" i="122"/>
  <c r="S55" i="122"/>
  <c r="R55" i="122"/>
  <c r="S54" i="122"/>
  <c r="R54" i="122"/>
  <c r="S53" i="122"/>
  <c r="R53" i="122"/>
  <c r="S52" i="122"/>
  <c r="R52" i="122"/>
  <c r="S51" i="122"/>
  <c r="R51" i="122"/>
  <c r="S50" i="122"/>
  <c r="R50" i="122"/>
  <c r="C36" i="122"/>
  <c r="B36" i="122"/>
  <c r="B18" i="122"/>
  <c r="R38" i="122" s="1"/>
  <c r="S38" i="122" s="1"/>
  <c r="B17" i="122"/>
  <c r="B16" i="122"/>
  <c r="D113" i="122" s="1"/>
  <c r="B12" i="122"/>
  <c r="B11" i="122"/>
  <c r="B10" i="122"/>
  <c r="B9" i="122"/>
  <c r="D111" i="122" s="1"/>
  <c r="B4" i="122"/>
  <c r="B3" i="122"/>
  <c r="S252" i="121"/>
  <c r="R252" i="121"/>
  <c r="S251" i="121"/>
  <c r="R251" i="121"/>
  <c r="S250" i="121"/>
  <c r="R250" i="121"/>
  <c r="S249" i="121"/>
  <c r="R249" i="121"/>
  <c r="S248" i="121"/>
  <c r="R248" i="121"/>
  <c r="S247" i="121"/>
  <c r="R247" i="121"/>
  <c r="S246" i="121"/>
  <c r="R246" i="121"/>
  <c r="S245" i="121"/>
  <c r="R245" i="121"/>
  <c r="S244" i="121"/>
  <c r="R244" i="121"/>
  <c r="S243" i="121"/>
  <c r="R243" i="121"/>
  <c r="S242" i="121"/>
  <c r="R242" i="121"/>
  <c r="S241" i="121"/>
  <c r="R241" i="121"/>
  <c r="S240" i="121"/>
  <c r="R240" i="121"/>
  <c r="S239" i="121"/>
  <c r="R239" i="121"/>
  <c r="S238" i="121"/>
  <c r="R238" i="121"/>
  <c r="S237" i="121"/>
  <c r="R237" i="121"/>
  <c r="S236" i="121"/>
  <c r="R236" i="121"/>
  <c r="S235" i="121"/>
  <c r="R235" i="121"/>
  <c r="S234" i="121"/>
  <c r="R234" i="121"/>
  <c r="S233" i="121"/>
  <c r="R233" i="121"/>
  <c r="S232" i="121"/>
  <c r="R232" i="121"/>
  <c r="S231" i="121"/>
  <c r="R231" i="121"/>
  <c r="S230" i="121"/>
  <c r="R230" i="121"/>
  <c r="S229" i="121"/>
  <c r="R229" i="121"/>
  <c r="S228" i="121"/>
  <c r="R228" i="121"/>
  <c r="S227" i="121"/>
  <c r="R227" i="121"/>
  <c r="S226" i="121"/>
  <c r="R226" i="121"/>
  <c r="S225" i="121"/>
  <c r="R225" i="121"/>
  <c r="S224" i="121"/>
  <c r="R224" i="121"/>
  <c r="S223" i="121"/>
  <c r="R223" i="121"/>
  <c r="S222" i="121"/>
  <c r="R222" i="121"/>
  <c r="S221" i="121"/>
  <c r="R221" i="121"/>
  <c r="S220" i="121"/>
  <c r="R220" i="121"/>
  <c r="S219" i="121"/>
  <c r="R219" i="121"/>
  <c r="S218" i="121"/>
  <c r="R218" i="121"/>
  <c r="S217" i="121"/>
  <c r="R217" i="121"/>
  <c r="S216" i="121"/>
  <c r="R216" i="121"/>
  <c r="S215" i="121"/>
  <c r="R215" i="121"/>
  <c r="S214" i="121"/>
  <c r="R214" i="121"/>
  <c r="S213" i="121"/>
  <c r="R213" i="121"/>
  <c r="S212" i="121"/>
  <c r="R212" i="121"/>
  <c r="S211" i="121"/>
  <c r="R211" i="121"/>
  <c r="S210" i="121"/>
  <c r="R210" i="121"/>
  <c r="S209" i="121"/>
  <c r="R209" i="121"/>
  <c r="S208" i="121"/>
  <c r="R208" i="121"/>
  <c r="S207" i="121"/>
  <c r="R207" i="121"/>
  <c r="S206" i="121"/>
  <c r="R206" i="121"/>
  <c r="S205" i="121"/>
  <c r="R205" i="121"/>
  <c r="S204" i="121"/>
  <c r="R204" i="121"/>
  <c r="S203" i="121"/>
  <c r="R203" i="121"/>
  <c r="S202" i="121"/>
  <c r="R202" i="121"/>
  <c r="S201" i="121"/>
  <c r="R201" i="121"/>
  <c r="S200" i="121"/>
  <c r="R200" i="121"/>
  <c r="S199" i="121"/>
  <c r="R199" i="121"/>
  <c r="S198" i="121"/>
  <c r="R198" i="121"/>
  <c r="S197" i="121"/>
  <c r="R197" i="121"/>
  <c r="S196" i="121"/>
  <c r="R196" i="121"/>
  <c r="S195" i="121"/>
  <c r="R195" i="121"/>
  <c r="S194" i="121"/>
  <c r="R194" i="121"/>
  <c r="S193" i="121"/>
  <c r="R193" i="121"/>
  <c r="S192" i="121"/>
  <c r="R192" i="121"/>
  <c r="S191" i="121"/>
  <c r="R191" i="121"/>
  <c r="S190" i="121"/>
  <c r="R190" i="121"/>
  <c r="S189" i="121"/>
  <c r="R189" i="121"/>
  <c r="S188" i="121"/>
  <c r="R188" i="121"/>
  <c r="S187" i="121"/>
  <c r="R187" i="121"/>
  <c r="S186" i="121"/>
  <c r="R186" i="121"/>
  <c r="S185" i="121"/>
  <c r="R185" i="121"/>
  <c r="S184" i="121"/>
  <c r="R184" i="121"/>
  <c r="S183" i="121"/>
  <c r="R183" i="121"/>
  <c r="S182" i="121"/>
  <c r="R182" i="121"/>
  <c r="S181" i="121"/>
  <c r="R181" i="121"/>
  <c r="S180" i="121"/>
  <c r="R180" i="121"/>
  <c r="S179" i="121"/>
  <c r="R179" i="121"/>
  <c r="S178" i="121"/>
  <c r="R178" i="121"/>
  <c r="S177" i="121"/>
  <c r="R177" i="121"/>
  <c r="S176" i="121"/>
  <c r="R176" i="121"/>
  <c r="S175" i="121"/>
  <c r="R175" i="121"/>
  <c r="S174" i="121"/>
  <c r="R174" i="121"/>
  <c r="S173" i="121"/>
  <c r="R173" i="121"/>
  <c r="S172" i="121"/>
  <c r="R172" i="121"/>
  <c r="S171" i="121"/>
  <c r="R171" i="121"/>
  <c r="S170" i="121"/>
  <c r="R170" i="121"/>
  <c r="S169" i="121"/>
  <c r="R169" i="121"/>
  <c r="S168" i="121"/>
  <c r="R168" i="121"/>
  <c r="S167" i="121"/>
  <c r="R167" i="121"/>
  <c r="S166" i="121"/>
  <c r="R166" i="121"/>
  <c r="S165" i="121"/>
  <c r="R165" i="121"/>
  <c r="S164" i="121"/>
  <c r="R164" i="121"/>
  <c r="S163" i="121"/>
  <c r="R163" i="121"/>
  <c r="S162" i="121"/>
  <c r="R162" i="121"/>
  <c r="S161" i="121"/>
  <c r="R161" i="121"/>
  <c r="S160" i="121"/>
  <c r="R160" i="121"/>
  <c r="S159" i="121"/>
  <c r="R159" i="121"/>
  <c r="S158" i="121"/>
  <c r="R158" i="121"/>
  <c r="S157" i="121"/>
  <c r="R157" i="121"/>
  <c r="S156" i="121"/>
  <c r="R156" i="121"/>
  <c r="S155" i="121"/>
  <c r="R155" i="121"/>
  <c r="S154" i="121"/>
  <c r="R154" i="121"/>
  <c r="S153" i="121"/>
  <c r="R153" i="121"/>
  <c r="S152" i="121"/>
  <c r="R152" i="121"/>
  <c r="S151" i="121"/>
  <c r="R151" i="121"/>
  <c r="S150" i="121"/>
  <c r="R150" i="121"/>
  <c r="S149" i="121"/>
  <c r="R149" i="121"/>
  <c r="S148" i="121"/>
  <c r="R148" i="121"/>
  <c r="S147" i="121"/>
  <c r="R147" i="121"/>
  <c r="S146" i="121"/>
  <c r="R146" i="121"/>
  <c r="S145" i="121"/>
  <c r="R145" i="121"/>
  <c r="S144" i="121"/>
  <c r="R144" i="121"/>
  <c r="S143" i="121"/>
  <c r="R143" i="121"/>
  <c r="S142" i="121"/>
  <c r="R142" i="121"/>
  <c r="S141" i="121"/>
  <c r="R141" i="121"/>
  <c r="S140" i="121"/>
  <c r="R140" i="121"/>
  <c r="S139" i="121"/>
  <c r="R139" i="121"/>
  <c r="S138" i="121"/>
  <c r="R138" i="121"/>
  <c r="S137" i="121"/>
  <c r="R137" i="121"/>
  <c r="S136" i="121"/>
  <c r="R136" i="121"/>
  <c r="S135" i="121"/>
  <c r="R135" i="121"/>
  <c r="S134" i="121"/>
  <c r="R134" i="121"/>
  <c r="S133" i="121"/>
  <c r="R133" i="121"/>
  <c r="S132" i="121"/>
  <c r="R132" i="121"/>
  <c r="S131" i="121"/>
  <c r="R131" i="121"/>
  <c r="S130" i="121"/>
  <c r="R130" i="121"/>
  <c r="S129" i="121"/>
  <c r="R129" i="121"/>
  <c r="S128" i="121"/>
  <c r="R128" i="121"/>
  <c r="S127" i="121"/>
  <c r="R127" i="121"/>
  <c r="S126" i="121"/>
  <c r="R126" i="121"/>
  <c r="S125" i="121"/>
  <c r="R125" i="121"/>
  <c r="S124" i="121"/>
  <c r="R124" i="121"/>
  <c r="S123" i="121"/>
  <c r="R123" i="121"/>
  <c r="S122" i="121"/>
  <c r="R122" i="121"/>
  <c r="S121" i="121"/>
  <c r="R121" i="121"/>
  <c r="S120" i="121"/>
  <c r="R120" i="121"/>
  <c r="S119" i="121"/>
  <c r="R119" i="121"/>
  <c r="S118" i="121"/>
  <c r="R118" i="121"/>
  <c r="S117" i="121"/>
  <c r="R117" i="121"/>
  <c r="S116" i="121"/>
  <c r="R116" i="121"/>
  <c r="S115" i="121"/>
  <c r="R115" i="121"/>
  <c r="S114" i="121"/>
  <c r="R114" i="121"/>
  <c r="B114" i="121"/>
  <c r="S113" i="121"/>
  <c r="R113" i="121"/>
  <c r="S112" i="121"/>
  <c r="R112" i="121"/>
  <c r="S111" i="121"/>
  <c r="R111" i="121"/>
  <c r="S110" i="121"/>
  <c r="R110" i="121"/>
  <c r="S109" i="121"/>
  <c r="R109" i="121"/>
  <c r="S108" i="121"/>
  <c r="R108" i="121"/>
  <c r="S107" i="121"/>
  <c r="R107" i="121"/>
  <c r="S106" i="121"/>
  <c r="R106" i="121"/>
  <c r="B106" i="121"/>
  <c r="A106" i="121"/>
  <c r="S105" i="121"/>
  <c r="R105" i="121"/>
  <c r="B105" i="121"/>
  <c r="A105" i="121"/>
  <c r="S104" i="121"/>
  <c r="R104" i="121"/>
  <c r="B104" i="121"/>
  <c r="S103" i="121"/>
  <c r="R103" i="121"/>
  <c r="F103" i="121"/>
  <c r="C103" i="121"/>
  <c r="S102" i="121"/>
  <c r="R102" i="121"/>
  <c r="F102" i="121"/>
  <c r="B102" i="121"/>
  <c r="S101" i="121"/>
  <c r="R101" i="121"/>
  <c r="S100" i="121"/>
  <c r="R100" i="121"/>
  <c r="S99" i="121"/>
  <c r="R99" i="121"/>
  <c r="S98" i="121"/>
  <c r="R98" i="121"/>
  <c r="S97" i="121"/>
  <c r="R97" i="121"/>
  <c r="S96" i="121"/>
  <c r="R96" i="121"/>
  <c r="S95" i="121"/>
  <c r="R95" i="121"/>
  <c r="S94" i="121"/>
  <c r="R94" i="121"/>
  <c r="S93" i="121"/>
  <c r="R93" i="121"/>
  <c r="S92" i="121"/>
  <c r="R92" i="121"/>
  <c r="S91" i="121"/>
  <c r="R91" i="121"/>
  <c r="S90" i="121"/>
  <c r="R90" i="121"/>
  <c r="S89" i="121"/>
  <c r="R89" i="121"/>
  <c r="S88" i="121"/>
  <c r="R88" i="121"/>
  <c r="S87" i="121"/>
  <c r="R87" i="121"/>
  <c r="S86" i="121"/>
  <c r="R86" i="121"/>
  <c r="S85" i="121"/>
  <c r="R85" i="121"/>
  <c r="S84" i="121"/>
  <c r="R84" i="121"/>
  <c r="S83" i="121"/>
  <c r="R83" i="121"/>
  <c r="S82" i="121"/>
  <c r="R82" i="121"/>
  <c r="S81" i="121"/>
  <c r="R81" i="121"/>
  <c r="S80" i="121"/>
  <c r="R80" i="121"/>
  <c r="S79" i="121"/>
  <c r="R79" i="121"/>
  <c r="S78" i="121"/>
  <c r="R78" i="121"/>
  <c r="S77" i="121"/>
  <c r="R77" i="121"/>
  <c r="S76" i="121"/>
  <c r="R76" i="121"/>
  <c r="S75" i="121"/>
  <c r="R75" i="121"/>
  <c r="S74" i="121"/>
  <c r="R74" i="121"/>
  <c r="S73" i="121"/>
  <c r="R73" i="121"/>
  <c r="S72" i="121"/>
  <c r="R72" i="121"/>
  <c r="S71" i="121"/>
  <c r="R71" i="121"/>
  <c r="S70" i="121"/>
  <c r="R70" i="121"/>
  <c r="S69" i="121"/>
  <c r="R69" i="121"/>
  <c r="S68" i="121"/>
  <c r="R68" i="121"/>
  <c r="S67" i="121"/>
  <c r="R67" i="121"/>
  <c r="S66" i="121"/>
  <c r="R66" i="121"/>
  <c r="S65" i="121"/>
  <c r="R65" i="121"/>
  <c r="S64" i="121"/>
  <c r="R64" i="121"/>
  <c r="S63" i="121"/>
  <c r="R63" i="121"/>
  <c r="S62" i="121"/>
  <c r="R62" i="121"/>
  <c r="S61" i="121"/>
  <c r="R61" i="121"/>
  <c r="S60" i="121"/>
  <c r="R60" i="121"/>
  <c r="S59" i="121"/>
  <c r="R59" i="121"/>
  <c r="S58" i="121"/>
  <c r="R58" i="121"/>
  <c r="S57" i="121"/>
  <c r="R57" i="121"/>
  <c r="S56" i="121"/>
  <c r="R56" i="121"/>
  <c r="S55" i="121"/>
  <c r="R55" i="121"/>
  <c r="S54" i="121"/>
  <c r="R54" i="121"/>
  <c r="S53" i="121"/>
  <c r="R53" i="121"/>
  <c r="S52" i="121"/>
  <c r="R52" i="121"/>
  <c r="S51" i="121"/>
  <c r="R51" i="121"/>
  <c r="S50" i="121"/>
  <c r="R50" i="121"/>
  <c r="C36" i="121"/>
  <c r="B36" i="121"/>
  <c r="B18" i="121"/>
  <c r="R9" i="121" s="1"/>
  <c r="S9" i="121" s="1"/>
  <c r="B17" i="121"/>
  <c r="B16" i="121"/>
  <c r="D113" i="121" s="1"/>
  <c r="B12" i="121"/>
  <c r="B11" i="121"/>
  <c r="B10" i="121"/>
  <c r="B9" i="121"/>
  <c r="E111" i="121" s="1"/>
  <c r="B4" i="121"/>
  <c r="B3" i="121"/>
  <c r="S252" i="120"/>
  <c r="R252" i="120"/>
  <c r="S251" i="120"/>
  <c r="R251" i="120"/>
  <c r="S250" i="120"/>
  <c r="R250" i="120"/>
  <c r="S249" i="120"/>
  <c r="R249" i="120"/>
  <c r="S248" i="120"/>
  <c r="R248" i="120"/>
  <c r="S247" i="120"/>
  <c r="R247" i="120"/>
  <c r="S246" i="120"/>
  <c r="R246" i="120"/>
  <c r="S245" i="120"/>
  <c r="R245" i="120"/>
  <c r="S244" i="120"/>
  <c r="R244" i="120"/>
  <c r="S243" i="120"/>
  <c r="R243" i="120"/>
  <c r="S242" i="120"/>
  <c r="R242" i="120"/>
  <c r="S241" i="120"/>
  <c r="R241" i="120"/>
  <c r="S240" i="120"/>
  <c r="R240" i="120"/>
  <c r="S239" i="120"/>
  <c r="R239" i="120"/>
  <c r="S238" i="120"/>
  <c r="R238" i="120"/>
  <c r="S237" i="120"/>
  <c r="R237" i="120"/>
  <c r="S236" i="120"/>
  <c r="R236" i="120"/>
  <c r="S235" i="120"/>
  <c r="R235" i="120"/>
  <c r="S234" i="120"/>
  <c r="R234" i="120"/>
  <c r="S233" i="120"/>
  <c r="R233" i="120"/>
  <c r="S232" i="120"/>
  <c r="R232" i="120"/>
  <c r="S231" i="120"/>
  <c r="R231" i="120"/>
  <c r="S230" i="120"/>
  <c r="R230" i="120"/>
  <c r="S229" i="120"/>
  <c r="R229" i="120"/>
  <c r="S228" i="120"/>
  <c r="R228" i="120"/>
  <c r="S227" i="120"/>
  <c r="R227" i="120"/>
  <c r="S226" i="120"/>
  <c r="R226" i="120"/>
  <c r="S225" i="120"/>
  <c r="R225" i="120"/>
  <c r="S224" i="120"/>
  <c r="R224" i="120"/>
  <c r="S223" i="120"/>
  <c r="R223" i="120"/>
  <c r="S222" i="120"/>
  <c r="R222" i="120"/>
  <c r="S221" i="120"/>
  <c r="R221" i="120"/>
  <c r="S220" i="120"/>
  <c r="R220" i="120"/>
  <c r="S219" i="120"/>
  <c r="R219" i="120"/>
  <c r="S218" i="120"/>
  <c r="R218" i="120"/>
  <c r="S217" i="120"/>
  <c r="R217" i="120"/>
  <c r="S216" i="120"/>
  <c r="R216" i="120"/>
  <c r="S215" i="120"/>
  <c r="R215" i="120"/>
  <c r="S214" i="120"/>
  <c r="R214" i="120"/>
  <c r="S213" i="120"/>
  <c r="R213" i="120"/>
  <c r="S212" i="120"/>
  <c r="R212" i="120"/>
  <c r="S211" i="120"/>
  <c r="R211" i="120"/>
  <c r="S210" i="120"/>
  <c r="R210" i="120"/>
  <c r="S209" i="120"/>
  <c r="R209" i="120"/>
  <c r="S208" i="120"/>
  <c r="R208" i="120"/>
  <c r="S207" i="120"/>
  <c r="R207" i="120"/>
  <c r="S206" i="120"/>
  <c r="R206" i="120"/>
  <c r="S205" i="120"/>
  <c r="R205" i="120"/>
  <c r="S204" i="120"/>
  <c r="R204" i="120"/>
  <c r="S203" i="120"/>
  <c r="R203" i="120"/>
  <c r="S202" i="120"/>
  <c r="R202" i="120"/>
  <c r="S201" i="120"/>
  <c r="R201" i="120"/>
  <c r="S200" i="120"/>
  <c r="R200" i="120"/>
  <c r="S199" i="120"/>
  <c r="R199" i="120"/>
  <c r="S198" i="120"/>
  <c r="R198" i="120"/>
  <c r="S197" i="120"/>
  <c r="R197" i="120"/>
  <c r="S196" i="120"/>
  <c r="R196" i="120"/>
  <c r="S195" i="120"/>
  <c r="R195" i="120"/>
  <c r="S194" i="120"/>
  <c r="R194" i="120"/>
  <c r="S193" i="120"/>
  <c r="R193" i="120"/>
  <c r="S192" i="120"/>
  <c r="R192" i="120"/>
  <c r="S191" i="120"/>
  <c r="R191" i="120"/>
  <c r="S190" i="120"/>
  <c r="R190" i="120"/>
  <c r="S189" i="120"/>
  <c r="R189" i="120"/>
  <c r="S188" i="120"/>
  <c r="R188" i="120"/>
  <c r="S187" i="120"/>
  <c r="R187" i="120"/>
  <c r="S186" i="120"/>
  <c r="R186" i="120"/>
  <c r="S185" i="120"/>
  <c r="R185" i="120"/>
  <c r="S184" i="120"/>
  <c r="R184" i="120"/>
  <c r="S183" i="120"/>
  <c r="R183" i="120"/>
  <c r="S182" i="120"/>
  <c r="R182" i="120"/>
  <c r="S181" i="120"/>
  <c r="R181" i="120"/>
  <c r="S180" i="120"/>
  <c r="R180" i="120"/>
  <c r="S179" i="120"/>
  <c r="R179" i="120"/>
  <c r="S178" i="120"/>
  <c r="R178" i="120"/>
  <c r="S177" i="120"/>
  <c r="R177" i="120"/>
  <c r="S176" i="120"/>
  <c r="R176" i="120"/>
  <c r="S175" i="120"/>
  <c r="R175" i="120"/>
  <c r="S174" i="120"/>
  <c r="R174" i="120"/>
  <c r="S173" i="120"/>
  <c r="R173" i="120"/>
  <c r="S172" i="120"/>
  <c r="R172" i="120"/>
  <c r="S171" i="120"/>
  <c r="R171" i="120"/>
  <c r="S170" i="120"/>
  <c r="R170" i="120"/>
  <c r="S169" i="120"/>
  <c r="R169" i="120"/>
  <c r="S168" i="120"/>
  <c r="R168" i="120"/>
  <c r="S167" i="120"/>
  <c r="R167" i="120"/>
  <c r="S166" i="120"/>
  <c r="R166" i="120"/>
  <c r="S165" i="120"/>
  <c r="R165" i="120"/>
  <c r="S164" i="120"/>
  <c r="R164" i="120"/>
  <c r="S163" i="120"/>
  <c r="R163" i="120"/>
  <c r="S162" i="120"/>
  <c r="R162" i="120"/>
  <c r="S161" i="120"/>
  <c r="R161" i="120"/>
  <c r="S160" i="120"/>
  <c r="R160" i="120"/>
  <c r="S159" i="120"/>
  <c r="R159" i="120"/>
  <c r="S158" i="120"/>
  <c r="R158" i="120"/>
  <c r="S157" i="120"/>
  <c r="R157" i="120"/>
  <c r="S156" i="120"/>
  <c r="R156" i="120"/>
  <c r="S155" i="120"/>
  <c r="R155" i="120"/>
  <c r="S154" i="120"/>
  <c r="R154" i="120"/>
  <c r="S153" i="120"/>
  <c r="R153" i="120"/>
  <c r="S152" i="120"/>
  <c r="R152" i="120"/>
  <c r="S151" i="120"/>
  <c r="R151" i="120"/>
  <c r="S150" i="120"/>
  <c r="R150" i="120"/>
  <c r="S149" i="120"/>
  <c r="R149" i="120"/>
  <c r="S148" i="120"/>
  <c r="R148" i="120"/>
  <c r="S147" i="120"/>
  <c r="R147" i="120"/>
  <c r="S146" i="120"/>
  <c r="R146" i="120"/>
  <c r="S145" i="120"/>
  <c r="R145" i="120"/>
  <c r="S144" i="120"/>
  <c r="R144" i="120"/>
  <c r="S143" i="120"/>
  <c r="R143" i="120"/>
  <c r="S142" i="120"/>
  <c r="R142" i="120"/>
  <c r="S141" i="120"/>
  <c r="R141" i="120"/>
  <c r="S140" i="120"/>
  <c r="R140" i="120"/>
  <c r="S139" i="120"/>
  <c r="R139" i="120"/>
  <c r="S138" i="120"/>
  <c r="R138" i="120"/>
  <c r="S137" i="120"/>
  <c r="R137" i="120"/>
  <c r="S136" i="120"/>
  <c r="R136" i="120"/>
  <c r="S135" i="120"/>
  <c r="R135" i="120"/>
  <c r="S134" i="120"/>
  <c r="R134" i="120"/>
  <c r="S133" i="120"/>
  <c r="R133" i="120"/>
  <c r="S132" i="120"/>
  <c r="R132" i="120"/>
  <c r="S131" i="120"/>
  <c r="R131" i="120"/>
  <c r="S130" i="120"/>
  <c r="R130" i="120"/>
  <c r="S129" i="120"/>
  <c r="R129" i="120"/>
  <c r="S128" i="120"/>
  <c r="R128" i="120"/>
  <c r="S127" i="120"/>
  <c r="R127" i="120"/>
  <c r="S126" i="120"/>
  <c r="R126" i="120"/>
  <c r="S125" i="120"/>
  <c r="R125" i="120"/>
  <c r="S124" i="120"/>
  <c r="R124" i="120"/>
  <c r="S123" i="120"/>
  <c r="R123" i="120"/>
  <c r="S122" i="120"/>
  <c r="R122" i="120"/>
  <c r="S121" i="120"/>
  <c r="R121" i="120"/>
  <c r="S120" i="120"/>
  <c r="R120" i="120"/>
  <c r="S119" i="120"/>
  <c r="R119" i="120"/>
  <c r="S118" i="120"/>
  <c r="R118" i="120"/>
  <c r="S117" i="120"/>
  <c r="R117" i="120"/>
  <c r="S116" i="120"/>
  <c r="R116" i="120"/>
  <c r="S115" i="120"/>
  <c r="R115" i="120"/>
  <c r="S114" i="120"/>
  <c r="R114" i="120"/>
  <c r="B114" i="120"/>
  <c r="S113" i="120"/>
  <c r="R113" i="120"/>
  <c r="S112" i="120"/>
  <c r="R112" i="120"/>
  <c r="S111" i="120"/>
  <c r="R111" i="120"/>
  <c r="S110" i="120"/>
  <c r="R110" i="120"/>
  <c r="S109" i="120"/>
  <c r="R109" i="120"/>
  <c r="S108" i="120"/>
  <c r="R108" i="120"/>
  <c r="S107" i="120"/>
  <c r="R107" i="120"/>
  <c r="S106" i="120"/>
  <c r="R106" i="120"/>
  <c r="B106" i="120"/>
  <c r="A106" i="120"/>
  <c r="S105" i="120"/>
  <c r="R105" i="120"/>
  <c r="B105" i="120"/>
  <c r="A105" i="120"/>
  <c r="S104" i="120"/>
  <c r="R104" i="120"/>
  <c r="B104" i="120"/>
  <c r="S103" i="120"/>
  <c r="R103" i="120"/>
  <c r="F103" i="120"/>
  <c r="C103" i="120"/>
  <c r="S102" i="120"/>
  <c r="R102" i="120"/>
  <c r="F102" i="120"/>
  <c r="B102" i="120"/>
  <c r="S101" i="120"/>
  <c r="R101" i="120"/>
  <c r="S100" i="120"/>
  <c r="R100" i="120"/>
  <c r="S99" i="120"/>
  <c r="R99" i="120"/>
  <c r="S98" i="120"/>
  <c r="R98" i="120"/>
  <c r="S97" i="120"/>
  <c r="R97" i="120"/>
  <c r="S96" i="120"/>
  <c r="R96" i="120"/>
  <c r="S95" i="120"/>
  <c r="R95" i="120"/>
  <c r="S94" i="120"/>
  <c r="R94" i="120"/>
  <c r="S93" i="120"/>
  <c r="R93" i="120"/>
  <c r="S92" i="120"/>
  <c r="R92" i="120"/>
  <c r="S91" i="120"/>
  <c r="R91" i="120"/>
  <c r="S90" i="120"/>
  <c r="R90" i="120"/>
  <c r="S89" i="120"/>
  <c r="R89" i="120"/>
  <c r="S88" i="120"/>
  <c r="R88" i="120"/>
  <c r="S87" i="120"/>
  <c r="R87" i="120"/>
  <c r="S86" i="120"/>
  <c r="R86" i="120"/>
  <c r="S85" i="120"/>
  <c r="R85" i="120"/>
  <c r="S84" i="120"/>
  <c r="R84" i="120"/>
  <c r="S83" i="120"/>
  <c r="R83" i="120"/>
  <c r="S82" i="120"/>
  <c r="R82" i="120"/>
  <c r="S81" i="120"/>
  <c r="R81" i="120"/>
  <c r="S80" i="120"/>
  <c r="R80" i="120"/>
  <c r="S79" i="120"/>
  <c r="R79" i="120"/>
  <c r="S78" i="120"/>
  <c r="R78" i="120"/>
  <c r="S77" i="120"/>
  <c r="R77" i="120"/>
  <c r="S76" i="120"/>
  <c r="R76" i="120"/>
  <c r="S75" i="120"/>
  <c r="R75" i="120"/>
  <c r="S74" i="120"/>
  <c r="R74" i="120"/>
  <c r="S73" i="120"/>
  <c r="R73" i="120"/>
  <c r="S72" i="120"/>
  <c r="R72" i="120"/>
  <c r="S71" i="120"/>
  <c r="R71" i="120"/>
  <c r="S70" i="120"/>
  <c r="R70" i="120"/>
  <c r="S69" i="120"/>
  <c r="R69" i="120"/>
  <c r="S68" i="120"/>
  <c r="R68" i="120"/>
  <c r="S67" i="120"/>
  <c r="R67" i="120"/>
  <c r="S66" i="120"/>
  <c r="R66" i="120"/>
  <c r="S65" i="120"/>
  <c r="R65" i="120"/>
  <c r="S64" i="120"/>
  <c r="R64" i="120"/>
  <c r="S63" i="120"/>
  <c r="R63" i="120"/>
  <c r="S62" i="120"/>
  <c r="R62" i="120"/>
  <c r="S61" i="120"/>
  <c r="R61" i="120"/>
  <c r="S60" i="120"/>
  <c r="R60" i="120"/>
  <c r="S59" i="120"/>
  <c r="R59" i="120"/>
  <c r="S58" i="120"/>
  <c r="R58" i="120"/>
  <c r="S57" i="120"/>
  <c r="R57" i="120"/>
  <c r="S56" i="120"/>
  <c r="R56" i="120"/>
  <c r="S55" i="120"/>
  <c r="R55" i="120"/>
  <c r="S54" i="120"/>
  <c r="R54" i="120"/>
  <c r="S53" i="120"/>
  <c r="R53" i="120"/>
  <c r="S52" i="120"/>
  <c r="R52" i="120"/>
  <c r="S51" i="120"/>
  <c r="R51" i="120"/>
  <c r="S50" i="120"/>
  <c r="R50" i="120"/>
  <c r="C36" i="120"/>
  <c r="B36" i="120"/>
  <c r="B18" i="120"/>
  <c r="B17" i="120"/>
  <c r="B16" i="120"/>
  <c r="D113" i="120" s="1"/>
  <c r="B12" i="120"/>
  <c r="B11" i="120"/>
  <c r="B10" i="120"/>
  <c r="B9" i="120"/>
  <c r="B4" i="120"/>
  <c r="B3" i="120"/>
  <c r="E114" i="121" l="1"/>
  <c r="R9" i="120"/>
  <c r="S9" i="120" s="1"/>
  <c r="E111" i="122"/>
  <c r="E114" i="122" s="1"/>
  <c r="R9" i="122"/>
  <c r="S9" i="122" s="1"/>
  <c r="R13" i="122"/>
  <c r="S13" i="122" s="1"/>
  <c r="R31" i="122"/>
  <c r="S31" i="122" s="1"/>
  <c r="R36" i="122"/>
  <c r="S36" i="122" s="1"/>
  <c r="R4" i="122"/>
  <c r="S4" i="122" s="1"/>
  <c r="R8" i="122"/>
  <c r="S8" i="122" s="1"/>
  <c r="R12" i="122"/>
  <c r="S12" i="122" s="1"/>
  <c r="R3" i="122"/>
  <c r="S3" i="122" s="1"/>
  <c r="R11" i="122"/>
  <c r="S11" i="122" s="1"/>
  <c r="R14" i="122"/>
  <c r="S14" i="122" s="1"/>
  <c r="R5" i="122"/>
  <c r="S5" i="122" s="1"/>
  <c r="R7" i="122"/>
  <c r="S7" i="122" s="1"/>
  <c r="R10" i="122"/>
  <c r="S10" i="122" s="1"/>
  <c r="B13" i="122"/>
  <c r="R16" i="122"/>
  <c r="S16" i="122" s="1"/>
  <c r="R19" i="122"/>
  <c r="S19" i="122" s="1"/>
  <c r="R22" i="122"/>
  <c r="S22" i="122" s="1"/>
  <c r="R26" i="122"/>
  <c r="S26" i="122" s="1"/>
  <c r="R39" i="122"/>
  <c r="S39" i="122" s="1"/>
  <c r="R42" i="122"/>
  <c r="S42" i="122" s="1"/>
  <c r="R44" i="122"/>
  <c r="S44" i="122" s="1"/>
  <c r="R46" i="122"/>
  <c r="S46" i="122" s="1"/>
  <c r="R48" i="122"/>
  <c r="S48" i="122" s="1"/>
  <c r="D114" i="122"/>
  <c r="R35" i="122"/>
  <c r="S35" i="122" s="1"/>
  <c r="R15" i="122"/>
  <c r="S15" i="122" s="1"/>
  <c r="R33" i="122"/>
  <c r="S33" i="122" s="1"/>
  <c r="R6" i="122"/>
  <c r="S6" i="122" s="1"/>
  <c r="R18" i="122"/>
  <c r="S18" i="122" s="1"/>
  <c r="R20" i="122"/>
  <c r="S20" i="122" s="1"/>
  <c r="R24" i="122"/>
  <c r="S24" i="122" s="1"/>
  <c r="R28" i="122"/>
  <c r="S28" i="122" s="1"/>
  <c r="R41" i="122"/>
  <c r="S41" i="122" s="1"/>
  <c r="R43" i="122"/>
  <c r="S43" i="122" s="1"/>
  <c r="R45" i="122"/>
  <c r="S45" i="122" s="1"/>
  <c r="R47" i="122"/>
  <c r="S47" i="122" s="1"/>
  <c r="R49" i="122"/>
  <c r="S49" i="122" s="1"/>
  <c r="R21" i="122"/>
  <c r="S21" i="122" s="1"/>
  <c r="R25" i="122"/>
  <c r="S25" i="122" s="1"/>
  <c r="R29" i="122"/>
  <c r="S29" i="122" s="1"/>
  <c r="R17" i="122"/>
  <c r="S17" i="122" s="1"/>
  <c r="R23" i="122"/>
  <c r="S23" i="122" s="1"/>
  <c r="R27" i="122"/>
  <c r="S27" i="122" s="1"/>
  <c r="R30" i="122"/>
  <c r="S30" i="122" s="1"/>
  <c r="R32" i="122"/>
  <c r="S32" i="122" s="1"/>
  <c r="R34" i="122"/>
  <c r="S34" i="122" s="1"/>
  <c r="R37" i="122"/>
  <c r="S37" i="122" s="1"/>
  <c r="R40" i="122"/>
  <c r="S40" i="122" s="1"/>
  <c r="R13" i="121"/>
  <c r="S13" i="121" s="1"/>
  <c r="R15" i="121"/>
  <c r="S15" i="121" s="1"/>
  <c r="R21" i="121"/>
  <c r="S21" i="121" s="1"/>
  <c r="R25" i="121"/>
  <c r="S25" i="121" s="1"/>
  <c r="R31" i="121"/>
  <c r="S31" i="121" s="1"/>
  <c r="R35" i="121"/>
  <c r="S35" i="121" s="1"/>
  <c r="R36" i="121"/>
  <c r="S36" i="121" s="1"/>
  <c r="R38" i="121"/>
  <c r="S38" i="121" s="1"/>
  <c r="R4" i="121"/>
  <c r="S4" i="121" s="1"/>
  <c r="R6" i="121"/>
  <c r="S6" i="121" s="1"/>
  <c r="R8" i="121"/>
  <c r="S8" i="121" s="1"/>
  <c r="R12" i="121"/>
  <c r="S12" i="121" s="1"/>
  <c r="R3" i="121"/>
  <c r="S3" i="121" s="1"/>
  <c r="R11" i="121"/>
  <c r="S11" i="121" s="1"/>
  <c r="R14" i="121"/>
  <c r="S14" i="121" s="1"/>
  <c r="R5" i="121"/>
  <c r="S5" i="121" s="1"/>
  <c r="R7" i="121"/>
  <c r="S7" i="121" s="1"/>
  <c r="R10" i="121"/>
  <c r="S10" i="121" s="1"/>
  <c r="B13" i="121"/>
  <c r="R16" i="121"/>
  <c r="S16" i="121" s="1"/>
  <c r="R19" i="121"/>
  <c r="S19" i="121" s="1"/>
  <c r="R22" i="121"/>
  <c r="S22" i="121" s="1"/>
  <c r="R26" i="121"/>
  <c r="S26" i="121" s="1"/>
  <c r="R39" i="121"/>
  <c r="S39" i="121" s="1"/>
  <c r="R42" i="121"/>
  <c r="S42" i="121" s="1"/>
  <c r="R44" i="121"/>
  <c r="S44" i="121" s="1"/>
  <c r="R46" i="121"/>
  <c r="S46" i="121" s="1"/>
  <c r="R48" i="121"/>
  <c r="S48" i="121" s="1"/>
  <c r="D111" i="121"/>
  <c r="D114" i="121"/>
  <c r="R18" i="121"/>
  <c r="S18" i="121" s="1"/>
  <c r="R20" i="121"/>
  <c r="S20" i="121" s="1"/>
  <c r="R24" i="121"/>
  <c r="S24" i="121" s="1"/>
  <c r="R28" i="121"/>
  <c r="S28" i="121" s="1"/>
  <c r="R41" i="121"/>
  <c r="S41" i="121" s="1"/>
  <c r="R43" i="121"/>
  <c r="S43" i="121" s="1"/>
  <c r="R45" i="121"/>
  <c r="S45" i="121" s="1"/>
  <c r="R47" i="121"/>
  <c r="S47" i="121" s="1"/>
  <c r="R49" i="121"/>
  <c r="S49" i="121" s="1"/>
  <c r="R29" i="121"/>
  <c r="S29" i="121" s="1"/>
  <c r="R33" i="121"/>
  <c r="S33" i="121" s="1"/>
  <c r="R17" i="121"/>
  <c r="S17" i="121" s="1"/>
  <c r="R23" i="121"/>
  <c r="S23" i="121" s="1"/>
  <c r="R27" i="121"/>
  <c r="S27" i="121" s="1"/>
  <c r="R30" i="121"/>
  <c r="S30" i="121" s="1"/>
  <c r="R32" i="121"/>
  <c r="S32" i="121" s="1"/>
  <c r="R34" i="121"/>
  <c r="S34" i="121" s="1"/>
  <c r="R37" i="121"/>
  <c r="S37" i="121" s="1"/>
  <c r="R40" i="121"/>
  <c r="S40" i="121" s="1"/>
  <c r="R21" i="120"/>
  <c r="S21" i="120" s="1"/>
  <c r="R25" i="120"/>
  <c r="S25" i="120" s="1"/>
  <c r="R31" i="120"/>
  <c r="S31" i="120" s="1"/>
  <c r="R33" i="120"/>
  <c r="S33" i="120" s="1"/>
  <c r="R35" i="120"/>
  <c r="S35" i="120" s="1"/>
  <c r="R36" i="120"/>
  <c r="S36" i="120" s="1"/>
  <c r="R38" i="120"/>
  <c r="S38" i="120" s="1"/>
  <c r="R4" i="120"/>
  <c r="S4" i="120" s="1"/>
  <c r="R6" i="120"/>
  <c r="S6" i="120" s="1"/>
  <c r="R8" i="120"/>
  <c r="S8" i="120" s="1"/>
  <c r="R12" i="120"/>
  <c r="S12" i="120" s="1"/>
  <c r="R3" i="120"/>
  <c r="S3" i="120" s="1"/>
  <c r="R11" i="120"/>
  <c r="S11" i="120" s="1"/>
  <c r="R14" i="120"/>
  <c r="S14" i="120" s="1"/>
  <c r="R5" i="120"/>
  <c r="S5" i="120" s="1"/>
  <c r="R7" i="120"/>
  <c r="S7" i="120" s="1"/>
  <c r="R10" i="120"/>
  <c r="S10" i="120" s="1"/>
  <c r="B13" i="120"/>
  <c r="R16" i="120"/>
  <c r="S16" i="120" s="1"/>
  <c r="R19" i="120"/>
  <c r="S19" i="120" s="1"/>
  <c r="R22" i="120"/>
  <c r="S22" i="120" s="1"/>
  <c r="R26" i="120"/>
  <c r="S26" i="120" s="1"/>
  <c r="R39" i="120"/>
  <c r="S39" i="120" s="1"/>
  <c r="R42" i="120"/>
  <c r="S42" i="120" s="1"/>
  <c r="R44" i="120"/>
  <c r="S44" i="120" s="1"/>
  <c r="R46" i="120"/>
  <c r="S46" i="120" s="1"/>
  <c r="R48" i="120"/>
  <c r="S48" i="120" s="1"/>
  <c r="D111" i="120"/>
  <c r="D114" i="120"/>
  <c r="R13" i="120"/>
  <c r="S13" i="120" s="1"/>
  <c r="R15" i="120"/>
  <c r="S15" i="120" s="1"/>
  <c r="R29" i="120"/>
  <c r="S29" i="120" s="1"/>
  <c r="E111" i="120"/>
  <c r="E114" i="120" s="1"/>
  <c r="R18" i="120"/>
  <c r="S18" i="120" s="1"/>
  <c r="R20" i="120"/>
  <c r="S20" i="120" s="1"/>
  <c r="R24" i="120"/>
  <c r="S24" i="120" s="1"/>
  <c r="R28" i="120"/>
  <c r="S28" i="120" s="1"/>
  <c r="R41" i="120"/>
  <c r="S41" i="120" s="1"/>
  <c r="R43" i="120"/>
  <c r="S43" i="120" s="1"/>
  <c r="R45" i="120"/>
  <c r="S45" i="120" s="1"/>
  <c r="R47" i="120"/>
  <c r="S47" i="120" s="1"/>
  <c r="R49" i="120"/>
  <c r="S49" i="120" s="1"/>
  <c r="R17" i="120"/>
  <c r="S17" i="120" s="1"/>
  <c r="R23" i="120"/>
  <c r="S23" i="120" s="1"/>
  <c r="R27" i="120"/>
  <c r="S27" i="120" s="1"/>
  <c r="R30" i="120"/>
  <c r="S30" i="120" s="1"/>
  <c r="R32" i="120"/>
  <c r="S32" i="120" s="1"/>
  <c r="R34" i="120"/>
  <c r="S34" i="120" s="1"/>
  <c r="R37" i="120"/>
  <c r="S37" i="120" s="1"/>
  <c r="R40" i="120"/>
  <c r="S40" i="120" s="1"/>
  <c r="B22" i="122" l="1"/>
  <c r="B23" i="122"/>
  <c r="B25" i="122"/>
  <c r="B21" i="122"/>
  <c r="B24" i="122"/>
  <c r="B22" i="121"/>
  <c r="B24" i="121"/>
  <c r="B23" i="121"/>
  <c r="B25" i="121"/>
  <c r="B21" i="121"/>
  <c r="B22" i="120"/>
  <c r="B23" i="120"/>
  <c r="B24" i="120"/>
  <c r="B25" i="120"/>
  <c r="B21" i="120"/>
  <c r="O252" i="119"/>
  <c r="O251" i="119"/>
  <c r="O250" i="119"/>
  <c r="O249" i="119"/>
  <c r="O248" i="119"/>
  <c r="O247" i="119"/>
  <c r="O246" i="119"/>
  <c r="O245" i="119"/>
  <c r="O244" i="119"/>
  <c r="O243" i="119"/>
  <c r="O242" i="119"/>
  <c r="O241" i="119"/>
  <c r="O240" i="119"/>
  <c r="O239" i="119"/>
  <c r="O238" i="119"/>
  <c r="O237" i="119"/>
  <c r="O236" i="119"/>
  <c r="O235" i="119"/>
  <c r="O234" i="119"/>
  <c r="O233" i="119"/>
  <c r="O232" i="119"/>
  <c r="O231" i="119"/>
  <c r="O230" i="119"/>
  <c r="O229" i="119"/>
  <c r="O228" i="119"/>
  <c r="O227" i="119"/>
  <c r="O226" i="119"/>
  <c r="O225" i="119"/>
  <c r="O224" i="119"/>
  <c r="O223" i="119"/>
  <c r="O222" i="119"/>
  <c r="O221" i="119"/>
  <c r="O220" i="119"/>
  <c r="O219" i="119"/>
  <c r="O218" i="119"/>
  <c r="O217" i="119"/>
  <c r="O216" i="119"/>
  <c r="O215" i="119"/>
  <c r="O214" i="119"/>
  <c r="O213" i="119"/>
  <c r="O212" i="119"/>
  <c r="O211" i="119"/>
  <c r="O210" i="119"/>
  <c r="O209" i="119"/>
  <c r="O208" i="119"/>
  <c r="O207" i="119"/>
  <c r="O206" i="119"/>
  <c r="O205" i="119"/>
  <c r="O204" i="119"/>
  <c r="O203" i="119"/>
  <c r="O202" i="119"/>
  <c r="O201" i="119"/>
  <c r="O200" i="119"/>
  <c r="O199" i="119"/>
  <c r="O198" i="119"/>
  <c r="O197" i="119"/>
  <c r="O196" i="119"/>
  <c r="O195" i="119"/>
  <c r="O194" i="119"/>
  <c r="O193" i="119"/>
  <c r="O192" i="119"/>
  <c r="O191" i="119"/>
  <c r="O190" i="119"/>
  <c r="O189" i="119"/>
  <c r="O188" i="119"/>
  <c r="O187" i="119"/>
  <c r="O186" i="119"/>
  <c r="O185" i="119"/>
  <c r="O184" i="119"/>
  <c r="O183" i="119"/>
  <c r="O182" i="119"/>
  <c r="O181" i="119"/>
  <c r="O180" i="119"/>
  <c r="O179" i="119"/>
  <c r="O178" i="119"/>
  <c r="O177" i="119"/>
  <c r="O176" i="119"/>
  <c r="O175" i="119"/>
  <c r="O174" i="119"/>
  <c r="O173" i="119"/>
  <c r="O172" i="119"/>
  <c r="O171" i="119"/>
  <c r="O170" i="119"/>
  <c r="O169" i="119"/>
  <c r="O168" i="119"/>
  <c r="O167" i="119"/>
  <c r="O166" i="119"/>
  <c r="O165" i="119"/>
  <c r="O164" i="119"/>
  <c r="O163" i="119"/>
  <c r="O162" i="119"/>
  <c r="O161" i="119"/>
  <c r="O160" i="119"/>
  <c r="O159" i="119"/>
  <c r="O158" i="119"/>
  <c r="O157" i="119"/>
  <c r="O156" i="119"/>
  <c r="O155" i="119"/>
  <c r="O154" i="119"/>
  <c r="O153" i="119"/>
  <c r="O152" i="119"/>
  <c r="O151" i="119"/>
  <c r="O150" i="119"/>
  <c r="O149" i="119"/>
  <c r="O148" i="119"/>
  <c r="O147" i="119"/>
  <c r="O146" i="119"/>
  <c r="O145" i="119"/>
  <c r="O144" i="119"/>
  <c r="O143" i="119"/>
  <c r="O142" i="119"/>
  <c r="O141" i="119"/>
  <c r="O140" i="119"/>
  <c r="O139" i="119"/>
  <c r="O138" i="119"/>
  <c r="O137" i="119"/>
  <c r="O136" i="119"/>
  <c r="O135" i="119"/>
  <c r="O134" i="119"/>
  <c r="O133" i="119"/>
  <c r="O132" i="119"/>
  <c r="O131" i="119"/>
  <c r="O130" i="119"/>
  <c r="O129" i="119"/>
  <c r="O128" i="119"/>
  <c r="O127" i="119"/>
  <c r="O126" i="119"/>
  <c r="O125" i="119"/>
  <c r="O124" i="119"/>
  <c r="O123" i="119"/>
  <c r="G123" i="119"/>
  <c r="O122" i="119"/>
  <c r="G122" i="119"/>
  <c r="O121" i="119"/>
  <c r="O120" i="119"/>
  <c r="G120" i="119"/>
  <c r="O119" i="119"/>
  <c r="G119" i="119"/>
  <c r="O118" i="119"/>
  <c r="G118" i="119"/>
  <c r="O117" i="119"/>
  <c r="O116" i="119"/>
  <c r="O115" i="119"/>
  <c r="O114" i="119"/>
  <c r="O113" i="119"/>
  <c r="O112" i="119"/>
  <c r="O111" i="119"/>
  <c r="O110" i="119"/>
  <c r="O109" i="119"/>
  <c r="O108" i="119"/>
  <c r="O107" i="119"/>
  <c r="O106" i="119"/>
  <c r="O105" i="119"/>
  <c r="O104" i="119"/>
  <c r="O103" i="119"/>
  <c r="O102" i="119"/>
  <c r="O101" i="119"/>
  <c r="O100" i="119"/>
  <c r="O99" i="119"/>
  <c r="O98" i="119"/>
  <c r="O97" i="119"/>
  <c r="O96" i="119"/>
  <c r="O95" i="119"/>
  <c r="O94" i="119"/>
  <c r="O93" i="119"/>
  <c r="O92" i="119"/>
  <c r="O91" i="119"/>
  <c r="O90" i="119"/>
  <c r="O89" i="119"/>
  <c r="O88" i="119"/>
  <c r="O87" i="119"/>
  <c r="O86" i="119"/>
  <c r="O85" i="119"/>
  <c r="O84" i="119"/>
  <c r="O83" i="119"/>
  <c r="O82" i="119"/>
  <c r="O81" i="119"/>
  <c r="O80" i="119"/>
  <c r="O79" i="119"/>
  <c r="O78" i="119"/>
  <c r="O77" i="119"/>
  <c r="O76" i="119"/>
  <c r="O75" i="119"/>
  <c r="O74" i="119"/>
  <c r="O73" i="119"/>
  <c r="O72" i="119"/>
  <c r="O71" i="119"/>
  <c r="O70" i="119"/>
  <c r="O69" i="119"/>
  <c r="O68" i="119"/>
  <c r="O67" i="119"/>
  <c r="O66" i="119"/>
  <c r="O65" i="119"/>
  <c r="O64" i="119"/>
  <c r="O63" i="119"/>
  <c r="O62" i="119"/>
  <c r="O61" i="119"/>
  <c r="O60" i="119"/>
  <c r="O59" i="119"/>
  <c r="O58" i="119"/>
  <c r="O57" i="119"/>
  <c r="O56" i="119"/>
  <c r="O55" i="119"/>
  <c r="O54" i="119"/>
  <c r="O53" i="119"/>
  <c r="O52" i="119"/>
  <c r="O51" i="119"/>
  <c r="O50" i="119"/>
  <c r="O49" i="119"/>
  <c r="O48" i="119"/>
  <c r="O47" i="119"/>
  <c r="O46" i="119"/>
  <c r="O45" i="119"/>
  <c r="O44" i="119"/>
  <c r="O43" i="119"/>
  <c r="O42" i="119"/>
  <c r="O41" i="119"/>
  <c r="O40" i="119"/>
  <c r="O39" i="119"/>
  <c r="O38" i="119"/>
  <c r="O37" i="119"/>
  <c r="O36" i="119"/>
  <c r="O35" i="119"/>
  <c r="O34" i="119"/>
  <c r="O33" i="119"/>
  <c r="O32" i="119"/>
  <c r="O31" i="119"/>
  <c r="O30" i="119"/>
  <c r="O29" i="119"/>
  <c r="O28" i="119"/>
  <c r="O27" i="119"/>
  <c r="E27" i="119"/>
  <c r="O26" i="119"/>
  <c r="E26" i="119"/>
  <c r="O25" i="119"/>
  <c r="F25" i="119"/>
  <c r="O24" i="119"/>
  <c r="O23" i="119"/>
  <c r="O22" i="119"/>
  <c r="O21" i="119"/>
  <c r="O20" i="119"/>
  <c r="O19" i="119"/>
  <c r="O18" i="119"/>
  <c r="O17" i="119"/>
  <c r="B17" i="119"/>
  <c r="O16" i="119"/>
  <c r="B16" i="119"/>
  <c r="B22" i="119" s="1"/>
  <c r="O15" i="119"/>
  <c r="O14" i="119"/>
  <c r="O13" i="119"/>
  <c r="O12" i="119"/>
  <c r="B12" i="119"/>
  <c r="U11" i="119" s="1"/>
  <c r="V11" i="119" s="1"/>
  <c r="O11" i="119"/>
  <c r="B11" i="119"/>
  <c r="O10" i="119"/>
  <c r="B10" i="119"/>
  <c r="O9" i="119"/>
  <c r="B9" i="119"/>
  <c r="O8" i="119"/>
  <c r="O7" i="119"/>
  <c r="O6" i="119"/>
  <c r="O5" i="119"/>
  <c r="O4" i="119"/>
  <c r="B4" i="119"/>
  <c r="O3" i="119"/>
  <c r="B3" i="119"/>
  <c r="O252" i="118"/>
  <c r="O251" i="118"/>
  <c r="O250" i="118"/>
  <c r="O249" i="118"/>
  <c r="O248" i="118"/>
  <c r="O247" i="118"/>
  <c r="O246" i="118"/>
  <c r="O245" i="118"/>
  <c r="O244" i="118"/>
  <c r="O243" i="118"/>
  <c r="O242" i="118"/>
  <c r="O241" i="118"/>
  <c r="O240" i="118"/>
  <c r="O239" i="118"/>
  <c r="O238" i="118"/>
  <c r="O237" i="118"/>
  <c r="O236" i="118"/>
  <c r="O235" i="118"/>
  <c r="O234" i="118"/>
  <c r="O233" i="118"/>
  <c r="O232" i="118"/>
  <c r="O231" i="118"/>
  <c r="O230" i="118"/>
  <c r="O229" i="118"/>
  <c r="O228" i="118"/>
  <c r="O227" i="118"/>
  <c r="O226" i="118"/>
  <c r="O225" i="118"/>
  <c r="O224" i="118"/>
  <c r="O223" i="118"/>
  <c r="O222" i="118"/>
  <c r="O221" i="118"/>
  <c r="O220" i="118"/>
  <c r="O219" i="118"/>
  <c r="O218" i="118"/>
  <c r="O217" i="118"/>
  <c r="O216" i="118"/>
  <c r="O215" i="118"/>
  <c r="O214" i="118"/>
  <c r="O213" i="118"/>
  <c r="O212" i="118"/>
  <c r="O211" i="118"/>
  <c r="O210" i="118"/>
  <c r="O209" i="118"/>
  <c r="O208" i="118"/>
  <c r="O207" i="118"/>
  <c r="O206" i="118"/>
  <c r="O205" i="118"/>
  <c r="O204" i="118"/>
  <c r="O203" i="118"/>
  <c r="O202" i="118"/>
  <c r="O201" i="118"/>
  <c r="O200" i="118"/>
  <c r="O199" i="118"/>
  <c r="O198" i="118"/>
  <c r="O197" i="118"/>
  <c r="O196" i="118"/>
  <c r="O195" i="118"/>
  <c r="O194" i="118"/>
  <c r="O193" i="118"/>
  <c r="O192" i="118"/>
  <c r="O191" i="118"/>
  <c r="O190" i="118"/>
  <c r="O189" i="118"/>
  <c r="O188" i="118"/>
  <c r="O187" i="118"/>
  <c r="O186" i="118"/>
  <c r="O185" i="118"/>
  <c r="O184" i="118"/>
  <c r="O183" i="118"/>
  <c r="O182" i="118"/>
  <c r="O181" i="118"/>
  <c r="O180" i="118"/>
  <c r="O179" i="118"/>
  <c r="O178" i="118"/>
  <c r="O177" i="118"/>
  <c r="O176" i="118"/>
  <c r="O175" i="118"/>
  <c r="O174" i="118"/>
  <c r="O173" i="118"/>
  <c r="O172" i="118"/>
  <c r="O171" i="118"/>
  <c r="O170" i="118"/>
  <c r="O169" i="118"/>
  <c r="O168" i="118"/>
  <c r="O167" i="118"/>
  <c r="O166" i="118"/>
  <c r="O165" i="118"/>
  <c r="O164" i="118"/>
  <c r="O163" i="118"/>
  <c r="O162" i="118"/>
  <c r="O161" i="118"/>
  <c r="O160" i="118"/>
  <c r="O159" i="118"/>
  <c r="O158" i="118"/>
  <c r="O157" i="118"/>
  <c r="O156" i="118"/>
  <c r="O155" i="118"/>
  <c r="O154" i="118"/>
  <c r="O153" i="118"/>
  <c r="O152" i="118"/>
  <c r="O151" i="118"/>
  <c r="O150" i="118"/>
  <c r="O149" i="118"/>
  <c r="O148" i="118"/>
  <c r="O147" i="118"/>
  <c r="O146" i="118"/>
  <c r="O145" i="118"/>
  <c r="O144" i="118"/>
  <c r="O143" i="118"/>
  <c r="O142" i="118"/>
  <c r="O141" i="118"/>
  <c r="O140" i="118"/>
  <c r="O139" i="118"/>
  <c r="O138" i="118"/>
  <c r="O137" i="118"/>
  <c r="O136" i="118"/>
  <c r="O135" i="118"/>
  <c r="O134" i="118"/>
  <c r="O133" i="118"/>
  <c r="O132" i="118"/>
  <c r="O131" i="118"/>
  <c r="O130" i="118"/>
  <c r="O129" i="118"/>
  <c r="O128" i="118"/>
  <c r="O127" i="118"/>
  <c r="O126" i="118"/>
  <c r="O125" i="118"/>
  <c r="O124" i="118"/>
  <c r="O123" i="118"/>
  <c r="G123" i="118"/>
  <c r="O122" i="118"/>
  <c r="G122" i="118"/>
  <c r="O121" i="118"/>
  <c r="O120" i="118"/>
  <c r="G120" i="118"/>
  <c r="O119" i="118"/>
  <c r="G119" i="118"/>
  <c r="O118" i="118"/>
  <c r="G118" i="118"/>
  <c r="O117" i="118"/>
  <c r="O116" i="118"/>
  <c r="O115" i="118"/>
  <c r="O114" i="118"/>
  <c r="O113" i="118"/>
  <c r="O112" i="118"/>
  <c r="O111" i="118"/>
  <c r="O110" i="118"/>
  <c r="O109" i="118"/>
  <c r="O108" i="118"/>
  <c r="O107" i="118"/>
  <c r="O106" i="118"/>
  <c r="O105" i="118"/>
  <c r="O104" i="118"/>
  <c r="O103" i="118"/>
  <c r="O102" i="118"/>
  <c r="O101" i="118"/>
  <c r="O100" i="118"/>
  <c r="O99" i="118"/>
  <c r="O98" i="118"/>
  <c r="O97" i="118"/>
  <c r="O96" i="118"/>
  <c r="O95" i="118"/>
  <c r="O94" i="118"/>
  <c r="O93" i="118"/>
  <c r="O92" i="118"/>
  <c r="O91" i="118"/>
  <c r="O90" i="118"/>
  <c r="O89" i="118"/>
  <c r="O88" i="118"/>
  <c r="O87" i="118"/>
  <c r="O86" i="118"/>
  <c r="O85" i="118"/>
  <c r="O84" i="118"/>
  <c r="O83" i="118"/>
  <c r="O82" i="118"/>
  <c r="O81" i="118"/>
  <c r="O80" i="118"/>
  <c r="O79" i="118"/>
  <c r="O78" i="118"/>
  <c r="O77" i="118"/>
  <c r="O76" i="118"/>
  <c r="O75" i="118"/>
  <c r="O74" i="118"/>
  <c r="O73" i="118"/>
  <c r="O72" i="118"/>
  <c r="O71" i="118"/>
  <c r="O70" i="118"/>
  <c r="O69" i="118"/>
  <c r="O68" i="118"/>
  <c r="O67" i="118"/>
  <c r="O66" i="118"/>
  <c r="O65" i="118"/>
  <c r="O64" i="118"/>
  <c r="O63" i="118"/>
  <c r="O62" i="118"/>
  <c r="O61" i="118"/>
  <c r="O60" i="118"/>
  <c r="O59" i="118"/>
  <c r="O58" i="118"/>
  <c r="O57" i="118"/>
  <c r="O56" i="118"/>
  <c r="O55" i="118"/>
  <c r="O54" i="118"/>
  <c r="O53" i="118"/>
  <c r="O52" i="118"/>
  <c r="O51" i="118"/>
  <c r="O50" i="118"/>
  <c r="O49" i="118"/>
  <c r="O48" i="118"/>
  <c r="O47" i="118"/>
  <c r="O46" i="118"/>
  <c r="O45" i="118"/>
  <c r="O44" i="118"/>
  <c r="O43" i="118"/>
  <c r="O42" i="118"/>
  <c r="O41" i="118"/>
  <c r="O40" i="118"/>
  <c r="O39" i="118"/>
  <c r="O38" i="118"/>
  <c r="O37" i="118"/>
  <c r="O36" i="118"/>
  <c r="O35" i="118"/>
  <c r="O34" i="118"/>
  <c r="O33" i="118"/>
  <c r="O32" i="118"/>
  <c r="O31" i="118"/>
  <c r="O30" i="118"/>
  <c r="O29" i="118"/>
  <c r="O28" i="118"/>
  <c r="O27" i="118"/>
  <c r="E27" i="118"/>
  <c r="O26" i="118"/>
  <c r="E26" i="118"/>
  <c r="E31" i="118" s="1"/>
  <c r="O25" i="118"/>
  <c r="F25" i="118"/>
  <c r="O24" i="118"/>
  <c r="O23" i="118"/>
  <c r="O22" i="118"/>
  <c r="O21" i="118"/>
  <c r="O20" i="118"/>
  <c r="O19" i="118"/>
  <c r="O18" i="118"/>
  <c r="O17" i="118"/>
  <c r="B17" i="118"/>
  <c r="O16" i="118"/>
  <c r="B16" i="118"/>
  <c r="O15" i="118"/>
  <c r="O14" i="118"/>
  <c r="O13" i="118"/>
  <c r="O12" i="118"/>
  <c r="B12" i="118"/>
  <c r="U11" i="118" s="1"/>
  <c r="V11" i="118" s="1"/>
  <c r="O11" i="118"/>
  <c r="B11" i="118"/>
  <c r="B37" i="118" s="1"/>
  <c r="O10" i="118"/>
  <c r="B10" i="118"/>
  <c r="O9" i="118"/>
  <c r="B9" i="118"/>
  <c r="O8" i="118"/>
  <c r="O7" i="118"/>
  <c r="O6" i="118"/>
  <c r="O5" i="118"/>
  <c r="O4" i="118"/>
  <c r="B4" i="118"/>
  <c r="O3" i="118"/>
  <c r="B3" i="118"/>
  <c r="O252" i="117"/>
  <c r="O251" i="117"/>
  <c r="O250" i="117"/>
  <c r="O249" i="117"/>
  <c r="O248" i="117"/>
  <c r="O247" i="117"/>
  <c r="O246" i="117"/>
  <c r="O245" i="117"/>
  <c r="O244" i="117"/>
  <c r="O243" i="117"/>
  <c r="O242" i="117"/>
  <c r="O241" i="117"/>
  <c r="O240" i="117"/>
  <c r="O239" i="117"/>
  <c r="O238" i="117"/>
  <c r="O237" i="117"/>
  <c r="O236" i="117"/>
  <c r="O235" i="117"/>
  <c r="O234" i="117"/>
  <c r="O233" i="117"/>
  <c r="O232" i="117"/>
  <c r="O231" i="117"/>
  <c r="O230" i="117"/>
  <c r="O229" i="117"/>
  <c r="O228" i="117"/>
  <c r="O227" i="117"/>
  <c r="O226" i="117"/>
  <c r="O225" i="117"/>
  <c r="O224" i="117"/>
  <c r="O223" i="117"/>
  <c r="O222" i="117"/>
  <c r="O221" i="117"/>
  <c r="O220" i="117"/>
  <c r="O219" i="117"/>
  <c r="O218" i="117"/>
  <c r="O217" i="117"/>
  <c r="O216" i="117"/>
  <c r="O215" i="117"/>
  <c r="O214" i="117"/>
  <c r="O213" i="117"/>
  <c r="O212" i="117"/>
  <c r="O211" i="117"/>
  <c r="O210" i="117"/>
  <c r="O209" i="117"/>
  <c r="O208" i="117"/>
  <c r="O207" i="117"/>
  <c r="O206" i="117"/>
  <c r="O205" i="117"/>
  <c r="O204" i="117"/>
  <c r="O203" i="117"/>
  <c r="O202" i="117"/>
  <c r="O201" i="117"/>
  <c r="O200" i="117"/>
  <c r="O199" i="117"/>
  <c r="O198" i="117"/>
  <c r="O197" i="117"/>
  <c r="O196" i="117"/>
  <c r="O195" i="117"/>
  <c r="O194" i="117"/>
  <c r="O193" i="117"/>
  <c r="O192" i="117"/>
  <c r="O191" i="117"/>
  <c r="O190" i="117"/>
  <c r="O189" i="117"/>
  <c r="O188" i="117"/>
  <c r="O187" i="117"/>
  <c r="O186" i="117"/>
  <c r="O185" i="117"/>
  <c r="O184" i="117"/>
  <c r="O183" i="117"/>
  <c r="O182" i="117"/>
  <c r="O181" i="117"/>
  <c r="O180" i="117"/>
  <c r="O179" i="117"/>
  <c r="O178" i="117"/>
  <c r="O177" i="117"/>
  <c r="O176" i="117"/>
  <c r="O175" i="117"/>
  <c r="O174" i="117"/>
  <c r="O173" i="117"/>
  <c r="O172" i="117"/>
  <c r="O171" i="117"/>
  <c r="O170" i="117"/>
  <c r="O169" i="117"/>
  <c r="O168" i="117"/>
  <c r="O167" i="117"/>
  <c r="O166" i="117"/>
  <c r="O165" i="117"/>
  <c r="O164" i="117"/>
  <c r="O163" i="117"/>
  <c r="O162" i="117"/>
  <c r="O161" i="117"/>
  <c r="O160" i="117"/>
  <c r="O159" i="117"/>
  <c r="O158" i="117"/>
  <c r="O157" i="117"/>
  <c r="O156" i="117"/>
  <c r="O155" i="117"/>
  <c r="O154" i="117"/>
  <c r="O153" i="117"/>
  <c r="O152" i="117"/>
  <c r="O151" i="117"/>
  <c r="O150" i="117"/>
  <c r="O149" i="117"/>
  <c r="O148" i="117"/>
  <c r="O147" i="117"/>
  <c r="O146" i="117"/>
  <c r="O145" i="117"/>
  <c r="O144" i="117"/>
  <c r="O143" i="117"/>
  <c r="O142" i="117"/>
  <c r="O141" i="117"/>
  <c r="O140" i="117"/>
  <c r="O139" i="117"/>
  <c r="O138" i="117"/>
  <c r="O137" i="117"/>
  <c r="O136" i="117"/>
  <c r="O135" i="117"/>
  <c r="O134" i="117"/>
  <c r="O133" i="117"/>
  <c r="O132" i="117"/>
  <c r="O131" i="117"/>
  <c r="O130" i="117"/>
  <c r="O129" i="117"/>
  <c r="O128" i="117"/>
  <c r="O127" i="117"/>
  <c r="O126" i="117"/>
  <c r="O125" i="117"/>
  <c r="O124" i="117"/>
  <c r="O123" i="117"/>
  <c r="G123" i="117"/>
  <c r="O122" i="117"/>
  <c r="G122" i="117"/>
  <c r="O121" i="117"/>
  <c r="O120" i="117"/>
  <c r="G120" i="117"/>
  <c r="O119" i="117"/>
  <c r="G119" i="117"/>
  <c r="O118" i="117"/>
  <c r="G118" i="117"/>
  <c r="O117" i="117"/>
  <c r="O116" i="117"/>
  <c r="O115" i="117"/>
  <c r="O114" i="117"/>
  <c r="O113" i="117"/>
  <c r="O112" i="117"/>
  <c r="O111" i="117"/>
  <c r="O110" i="117"/>
  <c r="O109" i="117"/>
  <c r="O108" i="117"/>
  <c r="O107" i="117"/>
  <c r="O106" i="117"/>
  <c r="O105" i="117"/>
  <c r="O104" i="117"/>
  <c r="O103" i="117"/>
  <c r="O102" i="117"/>
  <c r="O101" i="117"/>
  <c r="O100" i="117"/>
  <c r="O99" i="117"/>
  <c r="O98" i="117"/>
  <c r="O97" i="117"/>
  <c r="O96" i="117"/>
  <c r="O95" i="117"/>
  <c r="O94" i="117"/>
  <c r="O93" i="117"/>
  <c r="O92" i="117"/>
  <c r="O91" i="117"/>
  <c r="O90" i="117"/>
  <c r="O89" i="117"/>
  <c r="O88" i="117"/>
  <c r="O87" i="117"/>
  <c r="O86" i="117"/>
  <c r="O85" i="117"/>
  <c r="O84" i="117"/>
  <c r="O83" i="117"/>
  <c r="O82" i="117"/>
  <c r="O81" i="117"/>
  <c r="O80" i="117"/>
  <c r="O79" i="117"/>
  <c r="O78" i="117"/>
  <c r="O77" i="117"/>
  <c r="O76" i="117"/>
  <c r="O75" i="117"/>
  <c r="O74" i="117"/>
  <c r="O73" i="117"/>
  <c r="O72" i="117"/>
  <c r="O71" i="117"/>
  <c r="O70" i="117"/>
  <c r="O69" i="117"/>
  <c r="O68" i="117"/>
  <c r="O67" i="117"/>
  <c r="O66" i="117"/>
  <c r="O65" i="117"/>
  <c r="O64" i="117"/>
  <c r="O63" i="117"/>
  <c r="O62" i="117"/>
  <c r="O61" i="117"/>
  <c r="O60" i="117"/>
  <c r="O59" i="117"/>
  <c r="O58" i="117"/>
  <c r="O57" i="117"/>
  <c r="O56" i="117"/>
  <c r="O55" i="117"/>
  <c r="O54" i="117"/>
  <c r="O53" i="117"/>
  <c r="O52" i="117"/>
  <c r="O51" i="117"/>
  <c r="O50" i="117"/>
  <c r="O49" i="117"/>
  <c r="O48" i="117"/>
  <c r="O47" i="117"/>
  <c r="O46" i="117"/>
  <c r="O45" i="117"/>
  <c r="O44" i="117"/>
  <c r="O43" i="117"/>
  <c r="O42" i="117"/>
  <c r="O41" i="117"/>
  <c r="O40" i="117"/>
  <c r="O39" i="117"/>
  <c r="O38" i="117"/>
  <c r="O37" i="117"/>
  <c r="O36" i="117"/>
  <c r="O35" i="117"/>
  <c r="O34" i="117"/>
  <c r="O33" i="117"/>
  <c r="O32" i="117"/>
  <c r="O31" i="117"/>
  <c r="O30" i="117"/>
  <c r="O29" i="117"/>
  <c r="O28" i="117"/>
  <c r="O27" i="117"/>
  <c r="E27" i="117"/>
  <c r="F28" i="117" s="1"/>
  <c r="O26" i="117"/>
  <c r="E26" i="117"/>
  <c r="O25" i="117"/>
  <c r="F25" i="117"/>
  <c r="O24" i="117"/>
  <c r="O23" i="117"/>
  <c r="O22" i="117"/>
  <c r="O21" i="117"/>
  <c r="O20" i="117"/>
  <c r="O19" i="117"/>
  <c r="O18" i="117"/>
  <c r="O17" i="117"/>
  <c r="B17" i="117"/>
  <c r="O16" i="117"/>
  <c r="B16" i="117"/>
  <c r="O15" i="117"/>
  <c r="O14" i="117"/>
  <c r="O13" i="117"/>
  <c r="O12" i="117"/>
  <c r="B12" i="117"/>
  <c r="U11" i="117" s="1"/>
  <c r="V11" i="117" s="1"/>
  <c r="O11" i="117"/>
  <c r="B11" i="117"/>
  <c r="B37" i="117" s="1"/>
  <c r="O10" i="117"/>
  <c r="B10" i="117"/>
  <c r="B36" i="117" s="1"/>
  <c r="O9" i="117"/>
  <c r="B9" i="117"/>
  <c r="O8" i="117"/>
  <c r="O7" i="117"/>
  <c r="O6" i="117"/>
  <c r="O5" i="117"/>
  <c r="O4" i="117"/>
  <c r="B4" i="117"/>
  <c r="O3" i="117"/>
  <c r="B3" i="117"/>
  <c r="O252" i="116"/>
  <c r="O251" i="116"/>
  <c r="O250" i="116"/>
  <c r="O249" i="116"/>
  <c r="O248" i="116"/>
  <c r="O247" i="116"/>
  <c r="O246" i="116"/>
  <c r="O245" i="116"/>
  <c r="O244" i="116"/>
  <c r="O243" i="116"/>
  <c r="O242" i="116"/>
  <c r="O241" i="116"/>
  <c r="O240" i="116"/>
  <c r="O239" i="116"/>
  <c r="O238" i="116"/>
  <c r="O237" i="116"/>
  <c r="O236" i="116"/>
  <c r="O235" i="116"/>
  <c r="O234" i="116"/>
  <c r="O233" i="116"/>
  <c r="O232" i="116"/>
  <c r="O231" i="116"/>
  <c r="O230" i="116"/>
  <c r="O229" i="116"/>
  <c r="O228" i="116"/>
  <c r="O227" i="116"/>
  <c r="O226" i="116"/>
  <c r="O225" i="116"/>
  <c r="O224" i="116"/>
  <c r="O223" i="116"/>
  <c r="O222" i="116"/>
  <c r="O221" i="116"/>
  <c r="O220" i="116"/>
  <c r="O219" i="116"/>
  <c r="O218" i="116"/>
  <c r="O217" i="116"/>
  <c r="O216" i="116"/>
  <c r="O215" i="116"/>
  <c r="O214" i="116"/>
  <c r="O213" i="116"/>
  <c r="O212" i="116"/>
  <c r="O211" i="116"/>
  <c r="O210" i="116"/>
  <c r="O209" i="116"/>
  <c r="O208" i="116"/>
  <c r="O207" i="116"/>
  <c r="O206" i="116"/>
  <c r="O205" i="116"/>
  <c r="O204" i="116"/>
  <c r="O203" i="116"/>
  <c r="O202" i="116"/>
  <c r="O201" i="116"/>
  <c r="O200" i="116"/>
  <c r="O199" i="116"/>
  <c r="O198" i="116"/>
  <c r="O197" i="116"/>
  <c r="O196" i="116"/>
  <c r="O195" i="116"/>
  <c r="O194" i="116"/>
  <c r="O193" i="116"/>
  <c r="O192" i="116"/>
  <c r="O191" i="116"/>
  <c r="O190" i="116"/>
  <c r="O189" i="116"/>
  <c r="O188" i="116"/>
  <c r="O187" i="116"/>
  <c r="O186" i="116"/>
  <c r="O185" i="116"/>
  <c r="O184" i="116"/>
  <c r="O183" i="116"/>
  <c r="O182" i="116"/>
  <c r="O181" i="116"/>
  <c r="O180" i="116"/>
  <c r="O179" i="116"/>
  <c r="O178" i="116"/>
  <c r="O177" i="116"/>
  <c r="O176" i="116"/>
  <c r="O175" i="116"/>
  <c r="O174" i="116"/>
  <c r="O173" i="116"/>
  <c r="O172" i="116"/>
  <c r="O171" i="116"/>
  <c r="O170" i="116"/>
  <c r="O169" i="116"/>
  <c r="O168" i="116"/>
  <c r="O167" i="116"/>
  <c r="O166" i="116"/>
  <c r="O165" i="116"/>
  <c r="O164" i="116"/>
  <c r="O163" i="116"/>
  <c r="O162" i="116"/>
  <c r="O161" i="116"/>
  <c r="O160" i="116"/>
  <c r="O159" i="116"/>
  <c r="O158" i="116"/>
  <c r="O157" i="116"/>
  <c r="O156" i="116"/>
  <c r="O155" i="116"/>
  <c r="O154" i="116"/>
  <c r="O153" i="116"/>
  <c r="O152" i="116"/>
  <c r="O151" i="116"/>
  <c r="O150" i="116"/>
  <c r="O149" i="116"/>
  <c r="O148" i="116"/>
  <c r="O147" i="116"/>
  <c r="O146" i="116"/>
  <c r="O145" i="116"/>
  <c r="O144" i="116"/>
  <c r="O143" i="116"/>
  <c r="O142" i="116"/>
  <c r="O141" i="116"/>
  <c r="O140" i="116"/>
  <c r="O139" i="116"/>
  <c r="O138" i="116"/>
  <c r="O137" i="116"/>
  <c r="O136" i="116"/>
  <c r="O135" i="116"/>
  <c r="O134" i="116"/>
  <c r="O133" i="116"/>
  <c r="O132" i="116"/>
  <c r="O131" i="116"/>
  <c r="O130" i="116"/>
  <c r="O129" i="116"/>
  <c r="O128" i="116"/>
  <c r="O127" i="116"/>
  <c r="O126" i="116"/>
  <c r="O125" i="116"/>
  <c r="O124" i="116"/>
  <c r="O123" i="116"/>
  <c r="G123" i="116"/>
  <c r="O122" i="116"/>
  <c r="G122" i="116"/>
  <c r="O121" i="116"/>
  <c r="O120" i="116"/>
  <c r="G120" i="116"/>
  <c r="O119" i="116"/>
  <c r="G119" i="116"/>
  <c r="O118" i="116"/>
  <c r="G118" i="116"/>
  <c r="O117" i="116"/>
  <c r="O116" i="116"/>
  <c r="O115" i="116"/>
  <c r="O114" i="116"/>
  <c r="O113" i="116"/>
  <c r="O112" i="116"/>
  <c r="O111" i="116"/>
  <c r="O110" i="116"/>
  <c r="O109" i="116"/>
  <c r="O108" i="116"/>
  <c r="O107" i="116"/>
  <c r="O106" i="116"/>
  <c r="O105" i="116"/>
  <c r="O104" i="116"/>
  <c r="O103" i="116"/>
  <c r="O102" i="116"/>
  <c r="O101" i="116"/>
  <c r="O100" i="116"/>
  <c r="O99" i="116"/>
  <c r="O98" i="116"/>
  <c r="O97" i="116"/>
  <c r="O96" i="116"/>
  <c r="O95" i="116"/>
  <c r="O94" i="116"/>
  <c r="O93" i="116"/>
  <c r="O92" i="116"/>
  <c r="O91" i="116"/>
  <c r="O90" i="116"/>
  <c r="O89" i="116"/>
  <c r="O88" i="116"/>
  <c r="O87" i="116"/>
  <c r="O86" i="116"/>
  <c r="O85" i="116"/>
  <c r="O84" i="116"/>
  <c r="O83" i="116"/>
  <c r="O82" i="116"/>
  <c r="O81" i="116"/>
  <c r="O80" i="116"/>
  <c r="O79" i="116"/>
  <c r="O78" i="116"/>
  <c r="O77" i="116"/>
  <c r="O76" i="116"/>
  <c r="O75" i="116"/>
  <c r="O74" i="116"/>
  <c r="O73" i="116"/>
  <c r="O72" i="116"/>
  <c r="O71" i="116"/>
  <c r="O70" i="116"/>
  <c r="O69" i="116"/>
  <c r="O68" i="116"/>
  <c r="O67" i="116"/>
  <c r="O66" i="116"/>
  <c r="O65" i="116"/>
  <c r="O64" i="116"/>
  <c r="O63" i="116"/>
  <c r="O62" i="116"/>
  <c r="O61" i="116"/>
  <c r="O60" i="116"/>
  <c r="O59" i="116"/>
  <c r="O58" i="116"/>
  <c r="O57" i="116"/>
  <c r="O56" i="116"/>
  <c r="O55" i="116"/>
  <c r="O54" i="116"/>
  <c r="O53" i="116"/>
  <c r="O52" i="116"/>
  <c r="O51" i="116"/>
  <c r="O50" i="116"/>
  <c r="O49" i="116"/>
  <c r="O48" i="116"/>
  <c r="O47" i="116"/>
  <c r="O46" i="116"/>
  <c r="O45" i="116"/>
  <c r="O44" i="116"/>
  <c r="O43" i="116"/>
  <c r="O42" i="116"/>
  <c r="O41" i="116"/>
  <c r="O40" i="116"/>
  <c r="O39" i="116"/>
  <c r="O38" i="116"/>
  <c r="O37" i="116"/>
  <c r="O36" i="116"/>
  <c r="O35" i="116"/>
  <c r="O34" i="116"/>
  <c r="O33" i="116"/>
  <c r="O32" i="116"/>
  <c r="O31" i="116"/>
  <c r="O30" i="116"/>
  <c r="O29" i="116"/>
  <c r="O28" i="116"/>
  <c r="O27" i="116"/>
  <c r="E27" i="116"/>
  <c r="O26" i="116"/>
  <c r="E26" i="116"/>
  <c r="O25" i="116"/>
  <c r="F25" i="116"/>
  <c r="O24" i="116"/>
  <c r="O23" i="116"/>
  <c r="O22" i="116"/>
  <c r="O21" i="116"/>
  <c r="O20" i="116"/>
  <c r="O19" i="116"/>
  <c r="O18" i="116"/>
  <c r="O17" i="116"/>
  <c r="B17" i="116"/>
  <c r="B22" i="116" s="1"/>
  <c r="O16" i="116"/>
  <c r="B16" i="116"/>
  <c r="O15" i="116"/>
  <c r="O14" i="116"/>
  <c r="O13" i="116"/>
  <c r="O12" i="116"/>
  <c r="B12" i="116"/>
  <c r="U11" i="116" s="1"/>
  <c r="V11" i="116" s="1"/>
  <c r="O11" i="116"/>
  <c r="B11" i="116"/>
  <c r="O10" i="116"/>
  <c r="B10" i="116"/>
  <c r="O9" i="116"/>
  <c r="B9" i="116"/>
  <c r="O8" i="116"/>
  <c r="O7" i="116"/>
  <c r="O6" i="116"/>
  <c r="O5" i="116"/>
  <c r="O4" i="116"/>
  <c r="B4" i="116"/>
  <c r="O3" i="116"/>
  <c r="B3" i="116"/>
  <c r="O252" i="115"/>
  <c r="O251" i="115"/>
  <c r="O250" i="115"/>
  <c r="O249" i="115"/>
  <c r="O248" i="115"/>
  <c r="O247" i="115"/>
  <c r="O246" i="115"/>
  <c r="O245" i="115"/>
  <c r="O244" i="115"/>
  <c r="O243" i="115"/>
  <c r="O242" i="115"/>
  <c r="O241" i="115"/>
  <c r="O240" i="115"/>
  <c r="O239" i="115"/>
  <c r="O238" i="115"/>
  <c r="O237" i="115"/>
  <c r="O236" i="115"/>
  <c r="O235" i="115"/>
  <c r="O234" i="115"/>
  <c r="O233" i="115"/>
  <c r="O232" i="115"/>
  <c r="O231" i="115"/>
  <c r="O230" i="115"/>
  <c r="O229" i="115"/>
  <c r="O228" i="115"/>
  <c r="O227" i="115"/>
  <c r="O226" i="115"/>
  <c r="O225" i="115"/>
  <c r="O224" i="115"/>
  <c r="O223" i="115"/>
  <c r="O222" i="115"/>
  <c r="O221" i="115"/>
  <c r="O220" i="115"/>
  <c r="O219" i="115"/>
  <c r="O218" i="115"/>
  <c r="O217" i="115"/>
  <c r="O216" i="115"/>
  <c r="O215" i="115"/>
  <c r="O214" i="115"/>
  <c r="O213" i="115"/>
  <c r="O212" i="115"/>
  <c r="O211" i="115"/>
  <c r="O210" i="115"/>
  <c r="O209" i="115"/>
  <c r="O208" i="115"/>
  <c r="O207" i="115"/>
  <c r="O206" i="115"/>
  <c r="O205" i="115"/>
  <c r="O204" i="115"/>
  <c r="O203" i="115"/>
  <c r="O202" i="115"/>
  <c r="O201" i="115"/>
  <c r="O200" i="115"/>
  <c r="O199" i="115"/>
  <c r="O198" i="115"/>
  <c r="O197" i="115"/>
  <c r="O196" i="115"/>
  <c r="O195" i="115"/>
  <c r="O194" i="115"/>
  <c r="O193" i="115"/>
  <c r="O192" i="115"/>
  <c r="O191" i="115"/>
  <c r="O190" i="115"/>
  <c r="O189" i="115"/>
  <c r="O188" i="115"/>
  <c r="O187" i="115"/>
  <c r="O186" i="115"/>
  <c r="O185" i="115"/>
  <c r="O184" i="115"/>
  <c r="O183" i="115"/>
  <c r="O182" i="115"/>
  <c r="O181" i="115"/>
  <c r="O180" i="115"/>
  <c r="O179" i="115"/>
  <c r="O178" i="115"/>
  <c r="O177" i="115"/>
  <c r="O176" i="115"/>
  <c r="O175" i="115"/>
  <c r="O174" i="115"/>
  <c r="O173" i="115"/>
  <c r="O172" i="115"/>
  <c r="O171" i="115"/>
  <c r="O170" i="115"/>
  <c r="O169" i="115"/>
  <c r="O168" i="115"/>
  <c r="O167" i="115"/>
  <c r="O166" i="115"/>
  <c r="O165" i="115"/>
  <c r="O164" i="115"/>
  <c r="O163" i="115"/>
  <c r="O162" i="115"/>
  <c r="O161" i="115"/>
  <c r="O160" i="115"/>
  <c r="O159" i="115"/>
  <c r="O158" i="115"/>
  <c r="O157" i="115"/>
  <c r="O156" i="115"/>
  <c r="O155" i="115"/>
  <c r="O154" i="115"/>
  <c r="O153" i="115"/>
  <c r="O152" i="115"/>
  <c r="O151" i="115"/>
  <c r="O150" i="115"/>
  <c r="O149" i="115"/>
  <c r="O148" i="115"/>
  <c r="O147" i="115"/>
  <c r="O146" i="115"/>
  <c r="O145" i="115"/>
  <c r="O144" i="115"/>
  <c r="O143" i="115"/>
  <c r="O142" i="115"/>
  <c r="O141" i="115"/>
  <c r="O140" i="115"/>
  <c r="O139" i="115"/>
  <c r="O138" i="115"/>
  <c r="O137" i="115"/>
  <c r="O136" i="115"/>
  <c r="O135" i="115"/>
  <c r="O134" i="115"/>
  <c r="O133" i="115"/>
  <c r="O132" i="115"/>
  <c r="O131" i="115"/>
  <c r="O130" i="115"/>
  <c r="O129" i="115"/>
  <c r="O128" i="115"/>
  <c r="O127" i="115"/>
  <c r="O126" i="115"/>
  <c r="O125" i="115"/>
  <c r="O124" i="115"/>
  <c r="O123" i="115"/>
  <c r="G123" i="115"/>
  <c r="O122" i="115"/>
  <c r="G122" i="115"/>
  <c r="O121" i="115"/>
  <c r="O120" i="115"/>
  <c r="G120" i="115"/>
  <c r="O119" i="115"/>
  <c r="G119" i="115"/>
  <c r="O118" i="115"/>
  <c r="G118" i="115"/>
  <c r="O117" i="115"/>
  <c r="O116" i="115"/>
  <c r="O115" i="115"/>
  <c r="O114" i="115"/>
  <c r="O113" i="115"/>
  <c r="O112" i="115"/>
  <c r="O111" i="115"/>
  <c r="O110" i="115"/>
  <c r="O109" i="115"/>
  <c r="O108" i="115"/>
  <c r="O107" i="115"/>
  <c r="O106" i="115"/>
  <c r="O105" i="115"/>
  <c r="O104" i="115"/>
  <c r="O103" i="115"/>
  <c r="O102" i="115"/>
  <c r="O101" i="115"/>
  <c r="O100" i="115"/>
  <c r="O99" i="115"/>
  <c r="O98" i="115"/>
  <c r="O97" i="115"/>
  <c r="O96" i="115"/>
  <c r="O95" i="115"/>
  <c r="O94" i="115"/>
  <c r="O93" i="115"/>
  <c r="O92" i="115"/>
  <c r="O91" i="115"/>
  <c r="O90" i="115"/>
  <c r="O89" i="115"/>
  <c r="O88" i="115"/>
  <c r="O87" i="115"/>
  <c r="O86" i="115"/>
  <c r="O85" i="115"/>
  <c r="O84" i="115"/>
  <c r="O83" i="115"/>
  <c r="O82" i="115"/>
  <c r="O81" i="115"/>
  <c r="O80" i="115"/>
  <c r="O79" i="115"/>
  <c r="O78" i="115"/>
  <c r="O77" i="115"/>
  <c r="O76" i="115"/>
  <c r="O75" i="115"/>
  <c r="O74" i="115"/>
  <c r="O73" i="115"/>
  <c r="O72" i="115"/>
  <c r="O71" i="115"/>
  <c r="O70" i="115"/>
  <c r="O69" i="115"/>
  <c r="O68" i="115"/>
  <c r="O67" i="115"/>
  <c r="O66" i="115"/>
  <c r="O65" i="115"/>
  <c r="O64" i="115"/>
  <c r="O63" i="115"/>
  <c r="O62" i="115"/>
  <c r="O61" i="115"/>
  <c r="O60" i="115"/>
  <c r="O59" i="115"/>
  <c r="O58" i="115"/>
  <c r="O57" i="115"/>
  <c r="O56" i="115"/>
  <c r="O55" i="115"/>
  <c r="O54" i="115"/>
  <c r="O53" i="115"/>
  <c r="O52" i="115"/>
  <c r="O51" i="115"/>
  <c r="O50" i="115"/>
  <c r="O49" i="115"/>
  <c r="O48" i="115"/>
  <c r="O47" i="115"/>
  <c r="O46" i="115"/>
  <c r="O45" i="115"/>
  <c r="O44" i="115"/>
  <c r="O43" i="115"/>
  <c r="O42" i="115"/>
  <c r="O41" i="115"/>
  <c r="O40" i="115"/>
  <c r="O39" i="115"/>
  <c r="O38" i="115"/>
  <c r="O37" i="115"/>
  <c r="O36" i="115"/>
  <c r="O35" i="115"/>
  <c r="O34" i="115"/>
  <c r="O33" i="115"/>
  <c r="O32" i="115"/>
  <c r="O31" i="115"/>
  <c r="O30" i="115"/>
  <c r="O29" i="115"/>
  <c r="O28" i="115"/>
  <c r="O27" i="115"/>
  <c r="E27" i="115"/>
  <c r="F28" i="115" s="1"/>
  <c r="O26" i="115"/>
  <c r="E26" i="115"/>
  <c r="O25" i="115"/>
  <c r="F25" i="115"/>
  <c r="O24" i="115"/>
  <c r="O23" i="115"/>
  <c r="O22" i="115"/>
  <c r="O21" i="115"/>
  <c r="O20" i="115"/>
  <c r="O19" i="115"/>
  <c r="O18" i="115"/>
  <c r="O17" i="115"/>
  <c r="B17" i="115"/>
  <c r="O16" i="115"/>
  <c r="B16" i="115"/>
  <c r="O15" i="115"/>
  <c r="O14" i="115"/>
  <c r="O13" i="115"/>
  <c r="O12" i="115"/>
  <c r="B12" i="115"/>
  <c r="U11" i="115" s="1"/>
  <c r="V11" i="115" s="1"/>
  <c r="O11" i="115"/>
  <c r="B11" i="115"/>
  <c r="B37" i="115" s="1"/>
  <c r="O10" i="115"/>
  <c r="B10" i="115"/>
  <c r="O9" i="115"/>
  <c r="B9" i="115"/>
  <c r="O8" i="115"/>
  <c r="O7" i="115"/>
  <c r="O6" i="115"/>
  <c r="O5" i="115"/>
  <c r="O4" i="115"/>
  <c r="B4" i="115"/>
  <c r="O3" i="115"/>
  <c r="B3" i="115"/>
  <c r="O252" i="113"/>
  <c r="O251" i="113"/>
  <c r="O250" i="113"/>
  <c r="O249" i="113"/>
  <c r="O248" i="113"/>
  <c r="O247" i="113"/>
  <c r="O246" i="113"/>
  <c r="O245" i="113"/>
  <c r="O244" i="113"/>
  <c r="O243" i="113"/>
  <c r="O242" i="113"/>
  <c r="O241" i="113"/>
  <c r="O240" i="113"/>
  <c r="O239" i="113"/>
  <c r="O238" i="113"/>
  <c r="O237" i="113"/>
  <c r="O236" i="113"/>
  <c r="O235" i="113"/>
  <c r="O234" i="113"/>
  <c r="O233" i="113"/>
  <c r="O232" i="113"/>
  <c r="O231" i="113"/>
  <c r="O230" i="113"/>
  <c r="O229" i="113"/>
  <c r="O228" i="113"/>
  <c r="O227" i="113"/>
  <c r="O226" i="113"/>
  <c r="O225" i="113"/>
  <c r="O224" i="113"/>
  <c r="O223" i="113"/>
  <c r="O222" i="113"/>
  <c r="O221" i="113"/>
  <c r="O220" i="113"/>
  <c r="O219" i="113"/>
  <c r="O218" i="113"/>
  <c r="O217" i="113"/>
  <c r="O216" i="113"/>
  <c r="O215" i="113"/>
  <c r="O214" i="113"/>
  <c r="O213" i="113"/>
  <c r="O212" i="113"/>
  <c r="O211" i="113"/>
  <c r="O210" i="113"/>
  <c r="O209" i="113"/>
  <c r="O208" i="113"/>
  <c r="O207" i="113"/>
  <c r="O206" i="113"/>
  <c r="O205" i="113"/>
  <c r="O204" i="113"/>
  <c r="O203" i="113"/>
  <c r="O202" i="113"/>
  <c r="O201" i="113"/>
  <c r="O200" i="113"/>
  <c r="O199" i="113"/>
  <c r="O198" i="113"/>
  <c r="O197" i="113"/>
  <c r="O196" i="113"/>
  <c r="O195" i="113"/>
  <c r="O194" i="113"/>
  <c r="O193" i="113"/>
  <c r="O192" i="113"/>
  <c r="O191" i="113"/>
  <c r="O190" i="113"/>
  <c r="O189" i="113"/>
  <c r="O188" i="113"/>
  <c r="O187" i="113"/>
  <c r="O186" i="113"/>
  <c r="O185" i="113"/>
  <c r="O184" i="113"/>
  <c r="O183" i="113"/>
  <c r="O182" i="113"/>
  <c r="O181" i="113"/>
  <c r="O180" i="113"/>
  <c r="O179" i="113"/>
  <c r="O178" i="113"/>
  <c r="O177" i="113"/>
  <c r="O176" i="113"/>
  <c r="O175" i="113"/>
  <c r="O174" i="113"/>
  <c r="O173" i="113"/>
  <c r="O172" i="113"/>
  <c r="O171" i="113"/>
  <c r="O170" i="113"/>
  <c r="O169" i="113"/>
  <c r="O168" i="113"/>
  <c r="O167" i="113"/>
  <c r="O166" i="113"/>
  <c r="O165" i="113"/>
  <c r="O164" i="113"/>
  <c r="O163" i="113"/>
  <c r="O162" i="113"/>
  <c r="O161" i="113"/>
  <c r="O160" i="113"/>
  <c r="O159" i="113"/>
  <c r="O158" i="113"/>
  <c r="O157" i="113"/>
  <c r="O156" i="113"/>
  <c r="O155" i="113"/>
  <c r="O154" i="113"/>
  <c r="O153" i="113"/>
  <c r="O152" i="113"/>
  <c r="O151" i="113"/>
  <c r="O150" i="113"/>
  <c r="O149" i="113"/>
  <c r="O148" i="113"/>
  <c r="O147" i="113"/>
  <c r="O146" i="113"/>
  <c r="O145" i="113"/>
  <c r="O144" i="113"/>
  <c r="O143" i="113"/>
  <c r="O142" i="113"/>
  <c r="O141" i="113"/>
  <c r="O140" i="113"/>
  <c r="O139" i="113"/>
  <c r="O138" i="113"/>
  <c r="O137" i="113"/>
  <c r="O136" i="113"/>
  <c r="O135" i="113"/>
  <c r="O134" i="113"/>
  <c r="O133" i="113"/>
  <c r="O132" i="113"/>
  <c r="O131" i="113"/>
  <c r="O130" i="113"/>
  <c r="O129" i="113"/>
  <c r="O128" i="113"/>
  <c r="O127" i="113"/>
  <c r="O126" i="113"/>
  <c r="O125" i="113"/>
  <c r="O124" i="113"/>
  <c r="O123" i="113"/>
  <c r="G123" i="113"/>
  <c r="O122" i="113"/>
  <c r="G122" i="113"/>
  <c r="O121" i="113"/>
  <c r="O120" i="113"/>
  <c r="G120" i="113"/>
  <c r="O119" i="113"/>
  <c r="G119" i="113"/>
  <c r="O118" i="113"/>
  <c r="G118" i="113"/>
  <c r="O117" i="113"/>
  <c r="O116" i="113"/>
  <c r="O115" i="113"/>
  <c r="O114" i="113"/>
  <c r="O113" i="113"/>
  <c r="O112" i="113"/>
  <c r="O111" i="113"/>
  <c r="O110" i="113"/>
  <c r="O109" i="113"/>
  <c r="O108" i="113"/>
  <c r="O107" i="113"/>
  <c r="O106" i="113"/>
  <c r="O105" i="113"/>
  <c r="O104" i="113"/>
  <c r="O103" i="113"/>
  <c r="O102" i="113"/>
  <c r="O101" i="113"/>
  <c r="O100" i="113"/>
  <c r="O99" i="113"/>
  <c r="O98" i="113"/>
  <c r="O97"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E27" i="113"/>
  <c r="O26" i="113"/>
  <c r="E26" i="113"/>
  <c r="E31" i="113" s="1"/>
  <c r="O25" i="113"/>
  <c r="F25" i="113"/>
  <c r="O24" i="113"/>
  <c r="O23" i="113"/>
  <c r="O22" i="113"/>
  <c r="O21" i="113"/>
  <c r="O20" i="113"/>
  <c r="O19" i="113"/>
  <c r="O18" i="113"/>
  <c r="O17" i="113"/>
  <c r="B17" i="113"/>
  <c r="O16" i="113"/>
  <c r="B16" i="113"/>
  <c r="O15" i="113"/>
  <c r="O14" i="113"/>
  <c r="O13" i="113"/>
  <c r="O12" i="113"/>
  <c r="B12" i="113"/>
  <c r="U11" i="113" s="1"/>
  <c r="V11" i="113" s="1"/>
  <c r="O11" i="113"/>
  <c r="B11" i="113"/>
  <c r="B37" i="113" s="1"/>
  <c r="O10" i="113"/>
  <c r="B10" i="113"/>
  <c r="O9" i="113"/>
  <c r="B9" i="113"/>
  <c r="O8" i="113"/>
  <c r="O7" i="113"/>
  <c r="O6" i="113"/>
  <c r="O5" i="113"/>
  <c r="O4" i="113"/>
  <c r="B4" i="113"/>
  <c r="O3" i="113"/>
  <c r="B3" i="113"/>
  <c r="O252" i="112"/>
  <c r="O251" i="112"/>
  <c r="O250" i="112"/>
  <c r="O249" i="112"/>
  <c r="O248" i="112"/>
  <c r="O247" i="112"/>
  <c r="O246" i="112"/>
  <c r="O245" i="112"/>
  <c r="O244" i="112"/>
  <c r="O243" i="112"/>
  <c r="O242" i="112"/>
  <c r="O241" i="112"/>
  <c r="O240" i="112"/>
  <c r="O239" i="112"/>
  <c r="O238" i="112"/>
  <c r="O237" i="112"/>
  <c r="O236" i="112"/>
  <c r="O235" i="112"/>
  <c r="O234" i="112"/>
  <c r="O233" i="112"/>
  <c r="O232" i="112"/>
  <c r="O231" i="112"/>
  <c r="O230" i="112"/>
  <c r="O229" i="112"/>
  <c r="O228" i="112"/>
  <c r="O227" i="112"/>
  <c r="O226" i="112"/>
  <c r="O225" i="112"/>
  <c r="O224" i="112"/>
  <c r="O223" i="112"/>
  <c r="O222" i="112"/>
  <c r="O221" i="112"/>
  <c r="O220" i="112"/>
  <c r="O219" i="112"/>
  <c r="O218" i="112"/>
  <c r="O217" i="112"/>
  <c r="O216" i="112"/>
  <c r="O215" i="112"/>
  <c r="O214" i="112"/>
  <c r="O213" i="112"/>
  <c r="O212" i="112"/>
  <c r="O211" i="112"/>
  <c r="O210" i="112"/>
  <c r="O209" i="112"/>
  <c r="O208" i="112"/>
  <c r="O207" i="112"/>
  <c r="O206" i="112"/>
  <c r="O205" i="112"/>
  <c r="O204" i="112"/>
  <c r="O203" i="112"/>
  <c r="O202" i="112"/>
  <c r="O201" i="112"/>
  <c r="O200" i="112"/>
  <c r="O199" i="112"/>
  <c r="O198" i="112"/>
  <c r="O197" i="112"/>
  <c r="O196" i="112"/>
  <c r="O195" i="112"/>
  <c r="O194" i="112"/>
  <c r="O193" i="112"/>
  <c r="O192" i="112"/>
  <c r="O191" i="112"/>
  <c r="O190" i="112"/>
  <c r="O189" i="112"/>
  <c r="O188" i="112"/>
  <c r="O187" i="112"/>
  <c r="O186" i="112"/>
  <c r="O185" i="112"/>
  <c r="O184" i="112"/>
  <c r="O183" i="112"/>
  <c r="O182" i="112"/>
  <c r="O181" i="112"/>
  <c r="O180" i="112"/>
  <c r="O179" i="112"/>
  <c r="O178" i="112"/>
  <c r="O177" i="112"/>
  <c r="O176" i="112"/>
  <c r="O175" i="112"/>
  <c r="O174" i="112"/>
  <c r="O173" i="112"/>
  <c r="O172" i="112"/>
  <c r="O171" i="112"/>
  <c r="O170" i="112"/>
  <c r="O169" i="112"/>
  <c r="O168" i="112"/>
  <c r="O167" i="112"/>
  <c r="O166" i="112"/>
  <c r="O165" i="112"/>
  <c r="O164" i="112"/>
  <c r="O163" i="112"/>
  <c r="O162" i="112"/>
  <c r="O161" i="112"/>
  <c r="O160" i="112"/>
  <c r="O159" i="112"/>
  <c r="O158" i="112"/>
  <c r="O157" i="112"/>
  <c r="O156" i="112"/>
  <c r="O155" i="112"/>
  <c r="O154" i="112"/>
  <c r="O153" i="112"/>
  <c r="O152" i="112"/>
  <c r="O151" i="112"/>
  <c r="O150" i="112"/>
  <c r="O149" i="112"/>
  <c r="O148" i="112"/>
  <c r="O147" i="112"/>
  <c r="O146" i="112"/>
  <c r="O145" i="112"/>
  <c r="O144" i="112"/>
  <c r="O143" i="112"/>
  <c r="O142" i="112"/>
  <c r="O141" i="112"/>
  <c r="O140" i="112"/>
  <c r="O139" i="112"/>
  <c r="O138" i="112"/>
  <c r="O137" i="112"/>
  <c r="O136" i="112"/>
  <c r="O135" i="112"/>
  <c r="O134" i="112"/>
  <c r="O133" i="112"/>
  <c r="O132" i="112"/>
  <c r="O131" i="112"/>
  <c r="O130" i="112"/>
  <c r="O129" i="112"/>
  <c r="O128" i="112"/>
  <c r="O127" i="112"/>
  <c r="O126" i="112"/>
  <c r="O125" i="112"/>
  <c r="O124" i="112"/>
  <c r="O123" i="112"/>
  <c r="G123" i="112"/>
  <c r="O122" i="112"/>
  <c r="G122" i="112"/>
  <c r="O121" i="112"/>
  <c r="O120" i="112"/>
  <c r="G120" i="112"/>
  <c r="O119" i="112"/>
  <c r="G119" i="112"/>
  <c r="O118" i="112"/>
  <c r="G118" i="112"/>
  <c r="O117" i="112"/>
  <c r="O116" i="112"/>
  <c r="O115" i="112"/>
  <c r="O114" i="112"/>
  <c r="O113" i="112"/>
  <c r="O112" i="112"/>
  <c r="O111" i="112"/>
  <c r="O110" i="112"/>
  <c r="O109" i="112"/>
  <c r="O108" i="112"/>
  <c r="O107" i="112"/>
  <c r="O106" i="112"/>
  <c r="O105" i="112"/>
  <c r="O104" i="112"/>
  <c r="O103" i="112"/>
  <c r="O102" i="112"/>
  <c r="O101" i="112"/>
  <c r="O100" i="112"/>
  <c r="O99" i="112"/>
  <c r="O98" i="112"/>
  <c r="O97" i="112"/>
  <c r="O96" i="112"/>
  <c r="O95" i="112"/>
  <c r="O94" i="112"/>
  <c r="O93" i="112"/>
  <c r="O92" i="112"/>
  <c r="O91" i="112"/>
  <c r="O90" i="112"/>
  <c r="O89" i="112"/>
  <c r="O88" i="112"/>
  <c r="O87" i="112"/>
  <c r="O86" i="112"/>
  <c r="O85" i="112"/>
  <c r="O84" i="112"/>
  <c r="O83" i="112"/>
  <c r="O82" i="112"/>
  <c r="O81" i="112"/>
  <c r="O80" i="112"/>
  <c r="O79" i="112"/>
  <c r="O78" i="112"/>
  <c r="O77" i="112"/>
  <c r="O76" i="112"/>
  <c r="O75" i="112"/>
  <c r="O74" i="112"/>
  <c r="O73" i="112"/>
  <c r="O72" i="112"/>
  <c r="O71" i="112"/>
  <c r="O70" i="112"/>
  <c r="O69" i="112"/>
  <c r="O68" i="112"/>
  <c r="O67" i="112"/>
  <c r="O66" i="112"/>
  <c r="O65" i="112"/>
  <c r="O64" i="112"/>
  <c r="O63" i="112"/>
  <c r="O62" i="112"/>
  <c r="O61" i="112"/>
  <c r="O60" i="112"/>
  <c r="O59" i="112"/>
  <c r="O58" i="112"/>
  <c r="O57" i="112"/>
  <c r="O56" i="112"/>
  <c r="O55" i="112"/>
  <c r="O54" i="112"/>
  <c r="O53" i="112"/>
  <c r="O52" i="112"/>
  <c r="O51" i="112"/>
  <c r="O50" i="112"/>
  <c r="O49" i="112"/>
  <c r="O48" i="112"/>
  <c r="O47" i="112"/>
  <c r="O46" i="112"/>
  <c r="O45" i="112"/>
  <c r="O44" i="112"/>
  <c r="O43" i="112"/>
  <c r="O42" i="112"/>
  <c r="O41" i="112"/>
  <c r="O40" i="112"/>
  <c r="O39" i="112"/>
  <c r="O38" i="112"/>
  <c r="O37" i="112"/>
  <c r="O36" i="112"/>
  <c r="O35" i="112"/>
  <c r="O34" i="112"/>
  <c r="O33" i="112"/>
  <c r="O32" i="112"/>
  <c r="O31" i="112"/>
  <c r="O30" i="112"/>
  <c r="O29" i="112"/>
  <c r="O28" i="112"/>
  <c r="O27" i="112"/>
  <c r="E27" i="112"/>
  <c r="O26" i="112"/>
  <c r="E26" i="112"/>
  <c r="O25" i="112"/>
  <c r="F25" i="112"/>
  <c r="O24" i="112"/>
  <c r="O23" i="112"/>
  <c r="O22" i="112"/>
  <c r="O21" i="112"/>
  <c r="O20" i="112"/>
  <c r="O19" i="112"/>
  <c r="O18" i="112"/>
  <c r="O17" i="112"/>
  <c r="B17" i="112"/>
  <c r="O16" i="112"/>
  <c r="B16" i="112"/>
  <c r="C22" i="112" s="1"/>
  <c r="O15" i="112"/>
  <c r="O14" i="112"/>
  <c r="O13" i="112"/>
  <c r="O12" i="112"/>
  <c r="B12" i="112"/>
  <c r="U11" i="112" s="1"/>
  <c r="V11" i="112" s="1"/>
  <c r="O11" i="112"/>
  <c r="B11" i="112"/>
  <c r="B37" i="112" s="1"/>
  <c r="O10" i="112"/>
  <c r="B10" i="112"/>
  <c r="O9" i="112"/>
  <c r="B9" i="112"/>
  <c r="O8" i="112"/>
  <c r="O7" i="112"/>
  <c r="O6" i="112"/>
  <c r="O5" i="112"/>
  <c r="O4" i="112"/>
  <c r="B4" i="112"/>
  <c r="O3" i="112"/>
  <c r="B3" i="112"/>
  <c r="O252" i="111"/>
  <c r="O251" i="111"/>
  <c r="O250" i="111"/>
  <c r="O249" i="111"/>
  <c r="O248" i="111"/>
  <c r="O247" i="111"/>
  <c r="O246" i="111"/>
  <c r="O245" i="111"/>
  <c r="O244" i="111"/>
  <c r="O243" i="111"/>
  <c r="O242" i="111"/>
  <c r="O241" i="111"/>
  <c r="O240" i="111"/>
  <c r="O239" i="111"/>
  <c r="O238" i="111"/>
  <c r="O237" i="111"/>
  <c r="O236" i="111"/>
  <c r="O235" i="111"/>
  <c r="O234" i="111"/>
  <c r="O233" i="111"/>
  <c r="O232" i="111"/>
  <c r="O231" i="111"/>
  <c r="O230" i="111"/>
  <c r="O229" i="111"/>
  <c r="O228" i="111"/>
  <c r="O227" i="111"/>
  <c r="O226" i="111"/>
  <c r="O225" i="111"/>
  <c r="O224" i="111"/>
  <c r="O223" i="111"/>
  <c r="O222" i="111"/>
  <c r="O221" i="111"/>
  <c r="O220" i="111"/>
  <c r="O219" i="111"/>
  <c r="O218" i="111"/>
  <c r="O217" i="111"/>
  <c r="O216" i="111"/>
  <c r="O215" i="111"/>
  <c r="O214" i="111"/>
  <c r="O213" i="111"/>
  <c r="O212" i="111"/>
  <c r="O211" i="111"/>
  <c r="O210" i="111"/>
  <c r="O209" i="111"/>
  <c r="O208" i="111"/>
  <c r="O207" i="111"/>
  <c r="O206" i="111"/>
  <c r="O205" i="111"/>
  <c r="O204" i="111"/>
  <c r="O203" i="111"/>
  <c r="O202" i="111"/>
  <c r="O201" i="111"/>
  <c r="O200" i="111"/>
  <c r="O199" i="111"/>
  <c r="O198" i="111"/>
  <c r="O197" i="111"/>
  <c r="O196" i="111"/>
  <c r="O195" i="111"/>
  <c r="O194" i="111"/>
  <c r="O193" i="111"/>
  <c r="O192" i="111"/>
  <c r="O191" i="111"/>
  <c r="O190" i="111"/>
  <c r="O189" i="111"/>
  <c r="O188" i="111"/>
  <c r="O187" i="111"/>
  <c r="O186" i="111"/>
  <c r="O185" i="111"/>
  <c r="O184" i="111"/>
  <c r="O183" i="111"/>
  <c r="O182" i="111"/>
  <c r="O181" i="111"/>
  <c r="O180" i="111"/>
  <c r="O179" i="111"/>
  <c r="O178" i="111"/>
  <c r="O177" i="111"/>
  <c r="O176" i="111"/>
  <c r="O175" i="111"/>
  <c r="O174" i="111"/>
  <c r="O173" i="111"/>
  <c r="O172" i="111"/>
  <c r="O171" i="111"/>
  <c r="O170" i="111"/>
  <c r="O169" i="111"/>
  <c r="O168" i="111"/>
  <c r="O167" i="111"/>
  <c r="O166" i="111"/>
  <c r="O165" i="111"/>
  <c r="O164" i="111"/>
  <c r="O163" i="111"/>
  <c r="O162" i="111"/>
  <c r="O161" i="111"/>
  <c r="O160" i="111"/>
  <c r="O159" i="111"/>
  <c r="O158" i="111"/>
  <c r="O157" i="111"/>
  <c r="O156" i="111"/>
  <c r="O155" i="111"/>
  <c r="O154" i="111"/>
  <c r="O153" i="111"/>
  <c r="O152" i="111"/>
  <c r="O151" i="111"/>
  <c r="O150" i="111"/>
  <c r="O149" i="111"/>
  <c r="O148" i="111"/>
  <c r="O147" i="111"/>
  <c r="O146" i="111"/>
  <c r="O145" i="111"/>
  <c r="O144" i="111"/>
  <c r="O143" i="111"/>
  <c r="O142" i="111"/>
  <c r="O141" i="111"/>
  <c r="O140" i="111"/>
  <c r="O139" i="111"/>
  <c r="O138" i="111"/>
  <c r="O137" i="111"/>
  <c r="O136" i="111"/>
  <c r="O135" i="111"/>
  <c r="O134" i="111"/>
  <c r="O133" i="111"/>
  <c r="O132" i="111"/>
  <c r="O131" i="111"/>
  <c r="O130" i="111"/>
  <c r="O129" i="111"/>
  <c r="O128" i="111"/>
  <c r="O127" i="111"/>
  <c r="O126" i="111"/>
  <c r="O125" i="111"/>
  <c r="O124" i="111"/>
  <c r="O123" i="111"/>
  <c r="G123" i="111"/>
  <c r="O122" i="111"/>
  <c r="G122" i="111"/>
  <c r="O121" i="111"/>
  <c r="O120" i="111"/>
  <c r="G120" i="111"/>
  <c r="O119" i="111"/>
  <c r="G119" i="111"/>
  <c r="O118" i="111"/>
  <c r="G118" i="111"/>
  <c r="O117" i="111"/>
  <c r="O116" i="111"/>
  <c r="O115" i="111"/>
  <c r="O114" i="111"/>
  <c r="O113" i="111"/>
  <c r="O112" i="111"/>
  <c r="O111" i="111"/>
  <c r="O110" i="111"/>
  <c r="O109" i="111"/>
  <c r="O108" i="111"/>
  <c r="O107" i="111"/>
  <c r="O106" i="111"/>
  <c r="O105" i="111"/>
  <c r="O104" i="111"/>
  <c r="O103" i="111"/>
  <c r="O102" i="111"/>
  <c r="O101" i="111"/>
  <c r="O100" i="111"/>
  <c r="O99" i="111"/>
  <c r="O98" i="111"/>
  <c r="O97" i="111"/>
  <c r="O96" i="111"/>
  <c r="O95" i="111"/>
  <c r="O94" i="111"/>
  <c r="O93" i="111"/>
  <c r="O92" i="111"/>
  <c r="O91" i="111"/>
  <c r="O90" i="111"/>
  <c r="O89" i="111"/>
  <c r="O88" i="111"/>
  <c r="O87" i="111"/>
  <c r="O86" i="111"/>
  <c r="O85" i="111"/>
  <c r="O84" i="111"/>
  <c r="O83" i="111"/>
  <c r="O82" i="111"/>
  <c r="O81" i="111"/>
  <c r="O80" i="111"/>
  <c r="O79" i="111"/>
  <c r="O78" i="111"/>
  <c r="O77" i="111"/>
  <c r="O76" i="111"/>
  <c r="O75" i="111"/>
  <c r="O74" i="111"/>
  <c r="O73" i="111"/>
  <c r="O72" i="111"/>
  <c r="O71" i="111"/>
  <c r="O70" i="111"/>
  <c r="O69" i="111"/>
  <c r="O68" i="111"/>
  <c r="O67" i="111"/>
  <c r="O66" i="111"/>
  <c r="O65" i="111"/>
  <c r="O64" i="111"/>
  <c r="O63" i="111"/>
  <c r="O62" i="111"/>
  <c r="O61" i="111"/>
  <c r="O60" i="111"/>
  <c r="O59" i="111"/>
  <c r="O58" i="111"/>
  <c r="O57" i="111"/>
  <c r="O56" i="111"/>
  <c r="O55" i="111"/>
  <c r="O54" i="111"/>
  <c r="O53" i="111"/>
  <c r="O52" i="111"/>
  <c r="O51" i="111"/>
  <c r="O50" i="111"/>
  <c r="O49" i="111"/>
  <c r="O48" i="111"/>
  <c r="O47" i="111"/>
  <c r="O46" i="111"/>
  <c r="O45" i="111"/>
  <c r="O44" i="111"/>
  <c r="O43" i="111"/>
  <c r="O42" i="111"/>
  <c r="O41" i="111"/>
  <c r="O40" i="111"/>
  <c r="O39" i="111"/>
  <c r="O38" i="111"/>
  <c r="O37" i="111"/>
  <c r="O36" i="111"/>
  <c r="O35" i="111"/>
  <c r="O34" i="111"/>
  <c r="O33" i="111"/>
  <c r="O32" i="111"/>
  <c r="O31" i="111"/>
  <c r="O30" i="111"/>
  <c r="O29" i="111"/>
  <c r="O28" i="111"/>
  <c r="O27" i="111"/>
  <c r="E27" i="111"/>
  <c r="O26" i="111"/>
  <c r="E26" i="111"/>
  <c r="E30" i="111" s="1"/>
  <c r="O25" i="111"/>
  <c r="F25" i="111"/>
  <c r="O24" i="111"/>
  <c r="O23" i="111"/>
  <c r="O22" i="111"/>
  <c r="O21" i="111"/>
  <c r="O20" i="111"/>
  <c r="O19" i="111"/>
  <c r="O18" i="111"/>
  <c r="O17" i="111"/>
  <c r="B17" i="111"/>
  <c r="O16" i="111"/>
  <c r="B16" i="111"/>
  <c r="O15" i="111"/>
  <c r="O14" i="111"/>
  <c r="O13" i="111"/>
  <c r="O12" i="111"/>
  <c r="B12" i="111"/>
  <c r="U11" i="111" s="1"/>
  <c r="V11" i="111" s="1"/>
  <c r="O11" i="111"/>
  <c r="B11" i="111"/>
  <c r="B37" i="111" s="1"/>
  <c r="O10" i="111"/>
  <c r="B10" i="111"/>
  <c r="O9" i="111"/>
  <c r="B9" i="111"/>
  <c r="O8" i="111"/>
  <c r="O7" i="111"/>
  <c r="O6" i="111"/>
  <c r="O5" i="111"/>
  <c r="O4" i="111"/>
  <c r="B4" i="111"/>
  <c r="O3" i="111"/>
  <c r="B3" i="111"/>
  <c r="O252" i="110"/>
  <c r="O251" i="110"/>
  <c r="O250" i="110"/>
  <c r="O249" i="110"/>
  <c r="O248" i="110"/>
  <c r="O247" i="110"/>
  <c r="O246" i="110"/>
  <c r="O245" i="110"/>
  <c r="O244" i="110"/>
  <c r="O243" i="110"/>
  <c r="O242" i="110"/>
  <c r="O241" i="110"/>
  <c r="O240" i="110"/>
  <c r="O239" i="110"/>
  <c r="O238" i="110"/>
  <c r="O237" i="110"/>
  <c r="O236" i="110"/>
  <c r="O235" i="110"/>
  <c r="O234" i="110"/>
  <c r="O233" i="110"/>
  <c r="O232" i="110"/>
  <c r="O231" i="110"/>
  <c r="O230" i="110"/>
  <c r="O229" i="110"/>
  <c r="O228" i="110"/>
  <c r="O227" i="110"/>
  <c r="O226" i="110"/>
  <c r="O225" i="110"/>
  <c r="O224" i="110"/>
  <c r="O223" i="110"/>
  <c r="O222" i="110"/>
  <c r="O221" i="110"/>
  <c r="O220" i="110"/>
  <c r="O219" i="110"/>
  <c r="O218" i="110"/>
  <c r="O217" i="110"/>
  <c r="O216" i="110"/>
  <c r="O215" i="110"/>
  <c r="O214" i="110"/>
  <c r="O213" i="110"/>
  <c r="O212" i="110"/>
  <c r="O211" i="110"/>
  <c r="O210" i="110"/>
  <c r="O209" i="110"/>
  <c r="O208" i="110"/>
  <c r="O207" i="110"/>
  <c r="O206" i="110"/>
  <c r="O205" i="110"/>
  <c r="O204" i="110"/>
  <c r="O203" i="110"/>
  <c r="O202" i="110"/>
  <c r="O201" i="110"/>
  <c r="O200" i="110"/>
  <c r="O199" i="110"/>
  <c r="O198" i="110"/>
  <c r="O197" i="110"/>
  <c r="O196" i="110"/>
  <c r="O195" i="110"/>
  <c r="O194" i="110"/>
  <c r="O193" i="110"/>
  <c r="O192" i="110"/>
  <c r="O191" i="110"/>
  <c r="O190" i="110"/>
  <c r="O189" i="110"/>
  <c r="O188" i="110"/>
  <c r="O187" i="110"/>
  <c r="O186" i="110"/>
  <c r="O185" i="110"/>
  <c r="O184" i="110"/>
  <c r="O183" i="110"/>
  <c r="O182" i="110"/>
  <c r="O181" i="110"/>
  <c r="O180" i="110"/>
  <c r="O179" i="110"/>
  <c r="O178" i="110"/>
  <c r="O177" i="110"/>
  <c r="O176" i="110"/>
  <c r="O175" i="110"/>
  <c r="O174" i="110"/>
  <c r="O173" i="110"/>
  <c r="O172" i="110"/>
  <c r="O171" i="110"/>
  <c r="O170" i="110"/>
  <c r="O169" i="110"/>
  <c r="O168" i="110"/>
  <c r="O167" i="110"/>
  <c r="O166" i="110"/>
  <c r="O165" i="110"/>
  <c r="O164" i="110"/>
  <c r="O163" i="110"/>
  <c r="O162" i="110"/>
  <c r="O161" i="110"/>
  <c r="O160" i="110"/>
  <c r="O159" i="110"/>
  <c r="O158" i="110"/>
  <c r="O157" i="110"/>
  <c r="O156" i="110"/>
  <c r="O155" i="110"/>
  <c r="O154" i="110"/>
  <c r="O153" i="110"/>
  <c r="O152" i="110"/>
  <c r="O151" i="110"/>
  <c r="O150" i="110"/>
  <c r="O149" i="110"/>
  <c r="O148" i="110"/>
  <c r="O147" i="110"/>
  <c r="O146" i="110"/>
  <c r="O145" i="110"/>
  <c r="O144" i="110"/>
  <c r="O143" i="110"/>
  <c r="O142" i="110"/>
  <c r="O141" i="110"/>
  <c r="O140" i="110"/>
  <c r="O139" i="110"/>
  <c r="O138" i="110"/>
  <c r="O137" i="110"/>
  <c r="O136" i="110"/>
  <c r="O135" i="110"/>
  <c r="O134" i="110"/>
  <c r="O133" i="110"/>
  <c r="O132" i="110"/>
  <c r="O131" i="110"/>
  <c r="O130" i="110"/>
  <c r="O129" i="110"/>
  <c r="O128" i="110"/>
  <c r="O127" i="110"/>
  <c r="O126" i="110"/>
  <c r="O125" i="110"/>
  <c r="O124" i="110"/>
  <c r="O123" i="110"/>
  <c r="G123" i="110"/>
  <c r="O122" i="110"/>
  <c r="G122" i="110"/>
  <c r="O121" i="110"/>
  <c r="O120" i="110"/>
  <c r="G120" i="110"/>
  <c r="O119" i="110"/>
  <c r="G119" i="110"/>
  <c r="O118" i="110"/>
  <c r="G118" i="110"/>
  <c r="O117" i="110"/>
  <c r="O116" i="110"/>
  <c r="O115" i="110"/>
  <c r="O114" i="110"/>
  <c r="O113" i="110"/>
  <c r="O112" i="110"/>
  <c r="O111" i="110"/>
  <c r="O110" i="110"/>
  <c r="O109" i="110"/>
  <c r="O108" i="110"/>
  <c r="O107" i="110"/>
  <c r="O106" i="110"/>
  <c r="O105" i="110"/>
  <c r="O104" i="110"/>
  <c r="O103" i="110"/>
  <c r="O102" i="110"/>
  <c r="O101" i="110"/>
  <c r="O100" i="110"/>
  <c r="O99" i="110"/>
  <c r="O98" i="110"/>
  <c r="O97" i="110"/>
  <c r="O96" i="110"/>
  <c r="O95" i="110"/>
  <c r="O94" i="110"/>
  <c r="O93" i="110"/>
  <c r="O92" i="110"/>
  <c r="O91" i="110"/>
  <c r="O90" i="110"/>
  <c r="O89" i="110"/>
  <c r="O88" i="110"/>
  <c r="O87" i="110"/>
  <c r="O86" i="110"/>
  <c r="O85" i="110"/>
  <c r="O84" i="110"/>
  <c r="O83" i="110"/>
  <c r="O82" i="110"/>
  <c r="O81" i="110"/>
  <c r="O80" i="110"/>
  <c r="O79" i="110"/>
  <c r="O78" i="110"/>
  <c r="O77" i="110"/>
  <c r="O76" i="110"/>
  <c r="O75" i="110"/>
  <c r="O74" i="110"/>
  <c r="O73" i="110"/>
  <c r="O72" i="110"/>
  <c r="O71" i="110"/>
  <c r="O70" i="110"/>
  <c r="O69" i="110"/>
  <c r="O68" i="110"/>
  <c r="O67" i="110"/>
  <c r="O66" i="110"/>
  <c r="O65" i="110"/>
  <c r="O64" i="110"/>
  <c r="O63" i="110"/>
  <c r="O62" i="110"/>
  <c r="O61" i="110"/>
  <c r="O60" i="110"/>
  <c r="O59" i="110"/>
  <c r="O58" i="110"/>
  <c r="O57" i="110"/>
  <c r="O56" i="110"/>
  <c r="O55" i="110"/>
  <c r="O54" i="110"/>
  <c r="O53" i="110"/>
  <c r="O52" i="110"/>
  <c r="O51" i="110"/>
  <c r="O50" i="110"/>
  <c r="O49" i="110"/>
  <c r="O48" i="110"/>
  <c r="O47" i="110"/>
  <c r="O46" i="110"/>
  <c r="O45" i="110"/>
  <c r="O44" i="110"/>
  <c r="O43" i="110"/>
  <c r="O42" i="110"/>
  <c r="O41" i="110"/>
  <c r="O40" i="110"/>
  <c r="O39" i="110"/>
  <c r="O38" i="110"/>
  <c r="O37" i="110"/>
  <c r="O36" i="110"/>
  <c r="O35" i="110"/>
  <c r="O34" i="110"/>
  <c r="O33" i="110"/>
  <c r="O32" i="110"/>
  <c r="O31" i="110"/>
  <c r="O30" i="110"/>
  <c r="O29" i="110"/>
  <c r="O28" i="110"/>
  <c r="O27" i="110"/>
  <c r="E27" i="110"/>
  <c r="O26" i="110"/>
  <c r="E26" i="110"/>
  <c r="F27" i="110" s="1"/>
  <c r="O25" i="110"/>
  <c r="F25" i="110"/>
  <c r="O24" i="110"/>
  <c r="O23" i="110"/>
  <c r="O22" i="110"/>
  <c r="O21" i="110"/>
  <c r="O20" i="110"/>
  <c r="O19" i="110"/>
  <c r="O18" i="110"/>
  <c r="O17" i="110"/>
  <c r="B17" i="110"/>
  <c r="O16" i="110"/>
  <c r="B16" i="110"/>
  <c r="O15" i="110"/>
  <c r="O14" i="110"/>
  <c r="O13" i="110"/>
  <c r="O12" i="110"/>
  <c r="B12" i="110"/>
  <c r="U11" i="110" s="1"/>
  <c r="V11" i="110" s="1"/>
  <c r="O11" i="110"/>
  <c r="B11" i="110"/>
  <c r="B37" i="110" s="1"/>
  <c r="O10" i="110"/>
  <c r="B10" i="110"/>
  <c r="O9" i="110"/>
  <c r="B9" i="110"/>
  <c r="O8" i="110"/>
  <c r="O7" i="110"/>
  <c r="O6" i="110"/>
  <c r="O5" i="110"/>
  <c r="O4" i="110"/>
  <c r="B4" i="110"/>
  <c r="O3" i="110"/>
  <c r="B3" i="110"/>
  <c r="O252" i="109"/>
  <c r="O251" i="109"/>
  <c r="O250" i="109"/>
  <c r="O249" i="109"/>
  <c r="O248" i="109"/>
  <c r="O247" i="109"/>
  <c r="O246" i="109"/>
  <c r="O245" i="109"/>
  <c r="O244" i="109"/>
  <c r="O243" i="109"/>
  <c r="O242" i="109"/>
  <c r="O241" i="109"/>
  <c r="O240" i="109"/>
  <c r="O239" i="109"/>
  <c r="O238" i="109"/>
  <c r="O237" i="109"/>
  <c r="O236" i="109"/>
  <c r="O235" i="109"/>
  <c r="O234" i="109"/>
  <c r="O233" i="109"/>
  <c r="O232" i="109"/>
  <c r="O231" i="109"/>
  <c r="O230" i="109"/>
  <c r="O229" i="109"/>
  <c r="O228" i="109"/>
  <c r="O227" i="109"/>
  <c r="O226" i="109"/>
  <c r="O225" i="109"/>
  <c r="O224" i="109"/>
  <c r="O223" i="109"/>
  <c r="O222" i="109"/>
  <c r="O221" i="109"/>
  <c r="O220" i="109"/>
  <c r="O219" i="109"/>
  <c r="O218" i="109"/>
  <c r="O217" i="109"/>
  <c r="O216" i="109"/>
  <c r="O215" i="109"/>
  <c r="O214" i="109"/>
  <c r="O213" i="109"/>
  <c r="O212" i="109"/>
  <c r="O211" i="109"/>
  <c r="O210" i="109"/>
  <c r="O209" i="109"/>
  <c r="O208" i="109"/>
  <c r="O207" i="109"/>
  <c r="O206" i="109"/>
  <c r="O205" i="109"/>
  <c r="O204" i="109"/>
  <c r="O203" i="109"/>
  <c r="O202" i="109"/>
  <c r="O201" i="109"/>
  <c r="O200" i="109"/>
  <c r="O199" i="109"/>
  <c r="O198" i="109"/>
  <c r="O197" i="109"/>
  <c r="O196" i="109"/>
  <c r="O195" i="109"/>
  <c r="O194" i="109"/>
  <c r="O193" i="109"/>
  <c r="O192" i="109"/>
  <c r="O191" i="109"/>
  <c r="O190" i="109"/>
  <c r="O189" i="109"/>
  <c r="O188" i="109"/>
  <c r="O187" i="109"/>
  <c r="O186" i="109"/>
  <c r="O185" i="109"/>
  <c r="O184" i="109"/>
  <c r="O183" i="109"/>
  <c r="O182" i="109"/>
  <c r="O181" i="109"/>
  <c r="O180" i="109"/>
  <c r="O179" i="109"/>
  <c r="O178" i="109"/>
  <c r="O177" i="109"/>
  <c r="O176" i="109"/>
  <c r="O175" i="109"/>
  <c r="O174" i="109"/>
  <c r="O173" i="109"/>
  <c r="O172" i="109"/>
  <c r="O171" i="109"/>
  <c r="O170" i="109"/>
  <c r="O169" i="109"/>
  <c r="O168" i="109"/>
  <c r="O167" i="109"/>
  <c r="O166" i="109"/>
  <c r="O165" i="109"/>
  <c r="O164" i="109"/>
  <c r="O163" i="109"/>
  <c r="O162" i="109"/>
  <c r="O161" i="109"/>
  <c r="O160" i="109"/>
  <c r="O159" i="109"/>
  <c r="O158" i="109"/>
  <c r="O157" i="109"/>
  <c r="O156" i="109"/>
  <c r="O155" i="109"/>
  <c r="O154" i="109"/>
  <c r="O153" i="109"/>
  <c r="O152" i="109"/>
  <c r="O151" i="109"/>
  <c r="O150" i="109"/>
  <c r="O149" i="109"/>
  <c r="O148" i="109"/>
  <c r="O147" i="109"/>
  <c r="O146" i="109"/>
  <c r="O145" i="109"/>
  <c r="O144" i="109"/>
  <c r="O143" i="109"/>
  <c r="O142" i="109"/>
  <c r="O141" i="109"/>
  <c r="O140" i="109"/>
  <c r="O139" i="109"/>
  <c r="O138" i="109"/>
  <c r="O137" i="109"/>
  <c r="O136" i="109"/>
  <c r="O135" i="109"/>
  <c r="O134" i="109"/>
  <c r="O133" i="109"/>
  <c r="O132" i="109"/>
  <c r="O131" i="109"/>
  <c r="O130" i="109"/>
  <c r="O129" i="109"/>
  <c r="O128" i="109"/>
  <c r="O127" i="109"/>
  <c r="O126" i="109"/>
  <c r="O125" i="109"/>
  <c r="O124" i="109"/>
  <c r="O123" i="109"/>
  <c r="G123" i="109"/>
  <c r="O122" i="109"/>
  <c r="G122" i="109"/>
  <c r="O121" i="109"/>
  <c r="O120" i="109"/>
  <c r="G120" i="109"/>
  <c r="O119" i="109"/>
  <c r="G119" i="109"/>
  <c r="O118" i="109"/>
  <c r="G118" i="109"/>
  <c r="O117" i="109"/>
  <c r="O116" i="109"/>
  <c r="O115" i="109"/>
  <c r="O114" i="109"/>
  <c r="O113" i="109"/>
  <c r="O112" i="109"/>
  <c r="O111" i="109"/>
  <c r="O110" i="109"/>
  <c r="O109" i="109"/>
  <c r="O108" i="109"/>
  <c r="O107" i="109"/>
  <c r="O106" i="109"/>
  <c r="O105" i="109"/>
  <c r="O104" i="109"/>
  <c r="O103" i="109"/>
  <c r="O102" i="109"/>
  <c r="O101" i="109"/>
  <c r="O100" i="109"/>
  <c r="O99" i="109"/>
  <c r="O98" i="109"/>
  <c r="O97" i="109"/>
  <c r="O96" i="109"/>
  <c r="O95" i="109"/>
  <c r="O94" i="109"/>
  <c r="O93" i="109"/>
  <c r="O92" i="109"/>
  <c r="O91" i="109"/>
  <c r="O90" i="109"/>
  <c r="O89" i="109"/>
  <c r="O88" i="109"/>
  <c r="O87" i="109"/>
  <c r="O86" i="109"/>
  <c r="O85" i="109"/>
  <c r="O84" i="109"/>
  <c r="O83" i="109"/>
  <c r="O82" i="109"/>
  <c r="O81" i="109"/>
  <c r="O80" i="109"/>
  <c r="O79" i="109"/>
  <c r="O78" i="109"/>
  <c r="O77" i="109"/>
  <c r="O76" i="109"/>
  <c r="O75" i="109"/>
  <c r="O74" i="109"/>
  <c r="O73" i="109"/>
  <c r="O72" i="109"/>
  <c r="O71" i="109"/>
  <c r="O70" i="109"/>
  <c r="O69" i="109"/>
  <c r="O68" i="109"/>
  <c r="O67" i="109"/>
  <c r="O66" i="109"/>
  <c r="O65" i="109"/>
  <c r="O64" i="109"/>
  <c r="O63" i="109"/>
  <c r="O62" i="109"/>
  <c r="O61" i="109"/>
  <c r="O60" i="109"/>
  <c r="O59" i="109"/>
  <c r="O58" i="109"/>
  <c r="O57" i="109"/>
  <c r="O56" i="109"/>
  <c r="O55" i="109"/>
  <c r="O54" i="109"/>
  <c r="O53" i="109"/>
  <c r="O52" i="109"/>
  <c r="O51" i="109"/>
  <c r="O50" i="109"/>
  <c r="O49" i="109"/>
  <c r="O48" i="109"/>
  <c r="O47" i="109"/>
  <c r="O46" i="109"/>
  <c r="O45" i="109"/>
  <c r="O44" i="109"/>
  <c r="O43" i="109"/>
  <c r="O42" i="109"/>
  <c r="O41" i="109"/>
  <c r="O40" i="109"/>
  <c r="O39" i="109"/>
  <c r="O38" i="109"/>
  <c r="O37" i="109"/>
  <c r="O36" i="109"/>
  <c r="O35" i="109"/>
  <c r="O34" i="109"/>
  <c r="O33" i="109"/>
  <c r="O32" i="109"/>
  <c r="O31" i="109"/>
  <c r="O30" i="109"/>
  <c r="O29" i="109"/>
  <c r="O28" i="109"/>
  <c r="O27" i="109"/>
  <c r="E27" i="109"/>
  <c r="F28" i="109" s="1"/>
  <c r="O26" i="109"/>
  <c r="E26" i="109"/>
  <c r="O25" i="109"/>
  <c r="F25" i="109"/>
  <c r="O24" i="109"/>
  <c r="O23" i="109"/>
  <c r="O22" i="109"/>
  <c r="O21" i="109"/>
  <c r="O20" i="109"/>
  <c r="O19" i="109"/>
  <c r="O18" i="109"/>
  <c r="O17" i="109"/>
  <c r="B17" i="109"/>
  <c r="O16" i="109"/>
  <c r="B16" i="109"/>
  <c r="O15" i="109"/>
  <c r="O14" i="109"/>
  <c r="O13" i="109"/>
  <c r="O12" i="109"/>
  <c r="B12" i="109"/>
  <c r="U11" i="109" s="1"/>
  <c r="V11" i="109" s="1"/>
  <c r="O11" i="109"/>
  <c r="B11" i="109"/>
  <c r="O10" i="109"/>
  <c r="B10" i="109"/>
  <c r="O9" i="109"/>
  <c r="B9" i="109"/>
  <c r="O8" i="109"/>
  <c r="O7" i="109"/>
  <c r="O6" i="109"/>
  <c r="O5" i="109"/>
  <c r="O4" i="109"/>
  <c r="B4" i="109"/>
  <c r="O3" i="109"/>
  <c r="B3" i="109"/>
  <c r="O252" i="108"/>
  <c r="O251" i="108"/>
  <c r="O250" i="108"/>
  <c r="O249" i="108"/>
  <c r="O248" i="108"/>
  <c r="O247" i="108"/>
  <c r="O246" i="108"/>
  <c r="O245" i="108"/>
  <c r="O244" i="108"/>
  <c r="O243" i="108"/>
  <c r="O242" i="108"/>
  <c r="O241" i="108"/>
  <c r="O240" i="108"/>
  <c r="O239" i="108"/>
  <c r="O238" i="108"/>
  <c r="O237" i="108"/>
  <c r="O236" i="108"/>
  <c r="O235" i="108"/>
  <c r="O234" i="108"/>
  <c r="O233" i="108"/>
  <c r="O232" i="108"/>
  <c r="O231" i="108"/>
  <c r="O230" i="108"/>
  <c r="O229" i="108"/>
  <c r="O228" i="108"/>
  <c r="O227" i="108"/>
  <c r="O226" i="108"/>
  <c r="O225" i="108"/>
  <c r="O224" i="108"/>
  <c r="O223" i="108"/>
  <c r="O222" i="108"/>
  <c r="O221" i="108"/>
  <c r="O220" i="108"/>
  <c r="O219" i="108"/>
  <c r="O218" i="108"/>
  <c r="O217" i="108"/>
  <c r="O216" i="108"/>
  <c r="O215" i="108"/>
  <c r="O214" i="108"/>
  <c r="O213" i="108"/>
  <c r="O212" i="108"/>
  <c r="O211" i="108"/>
  <c r="O210" i="108"/>
  <c r="O209" i="108"/>
  <c r="O208" i="108"/>
  <c r="O207" i="108"/>
  <c r="O206" i="108"/>
  <c r="O205" i="108"/>
  <c r="O204" i="108"/>
  <c r="O203" i="108"/>
  <c r="O202" i="108"/>
  <c r="O201" i="108"/>
  <c r="O200" i="108"/>
  <c r="O199" i="108"/>
  <c r="O198" i="108"/>
  <c r="O197" i="108"/>
  <c r="O196" i="108"/>
  <c r="O195" i="108"/>
  <c r="O194" i="108"/>
  <c r="O193" i="108"/>
  <c r="O192" i="108"/>
  <c r="O191" i="108"/>
  <c r="O190" i="108"/>
  <c r="O189" i="108"/>
  <c r="O188" i="108"/>
  <c r="O187" i="108"/>
  <c r="O186" i="108"/>
  <c r="O185" i="108"/>
  <c r="O184" i="108"/>
  <c r="O183" i="108"/>
  <c r="O182" i="108"/>
  <c r="O181" i="108"/>
  <c r="O180" i="108"/>
  <c r="O179" i="108"/>
  <c r="O178" i="108"/>
  <c r="O177" i="108"/>
  <c r="O176" i="108"/>
  <c r="O175" i="108"/>
  <c r="O174" i="108"/>
  <c r="O173" i="108"/>
  <c r="O172" i="108"/>
  <c r="O171" i="108"/>
  <c r="O170" i="108"/>
  <c r="O169" i="108"/>
  <c r="O168" i="108"/>
  <c r="O167" i="108"/>
  <c r="O166" i="108"/>
  <c r="O165" i="108"/>
  <c r="O164" i="108"/>
  <c r="O163" i="108"/>
  <c r="O162" i="108"/>
  <c r="O161" i="108"/>
  <c r="O160" i="108"/>
  <c r="O159" i="108"/>
  <c r="O158" i="108"/>
  <c r="O157" i="108"/>
  <c r="O156" i="108"/>
  <c r="O155" i="108"/>
  <c r="O154" i="108"/>
  <c r="O153" i="108"/>
  <c r="O152" i="108"/>
  <c r="O151" i="108"/>
  <c r="O150" i="108"/>
  <c r="O149" i="108"/>
  <c r="O148" i="108"/>
  <c r="O147" i="108"/>
  <c r="O146" i="108"/>
  <c r="O145" i="108"/>
  <c r="O144" i="108"/>
  <c r="O143" i="108"/>
  <c r="O142" i="108"/>
  <c r="O141" i="108"/>
  <c r="O140" i="108"/>
  <c r="O139" i="108"/>
  <c r="O138" i="108"/>
  <c r="O137" i="108"/>
  <c r="O136" i="108"/>
  <c r="O135" i="108"/>
  <c r="O134" i="108"/>
  <c r="O133" i="108"/>
  <c r="O132" i="108"/>
  <c r="O131" i="108"/>
  <c r="O130" i="108"/>
  <c r="O129" i="108"/>
  <c r="O128" i="108"/>
  <c r="O127" i="108"/>
  <c r="O126" i="108"/>
  <c r="O125" i="108"/>
  <c r="O124" i="108"/>
  <c r="O123" i="108"/>
  <c r="G123" i="108"/>
  <c r="O122" i="108"/>
  <c r="G122" i="108"/>
  <c r="O121" i="108"/>
  <c r="O120" i="108"/>
  <c r="G120" i="108"/>
  <c r="O119" i="108"/>
  <c r="G119" i="108"/>
  <c r="O118" i="108"/>
  <c r="G118" i="108"/>
  <c r="O117" i="108"/>
  <c r="O116" i="108"/>
  <c r="O115" i="108"/>
  <c r="O114" i="108"/>
  <c r="O113" i="108"/>
  <c r="O112" i="108"/>
  <c r="O111" i="108"/>
  <c r="O110" i="108"/>
  <c r="O109" i="108"/>
  <c r="O108" i="108"/>
  <c r="O107" i="108"/>
  <c r="O106" i="108"/>
  <c r="O105" i="108"/>
  <c r="O104" i="108"/>
  <c r="O103" i="108"/>
  <c r="O102" i="108"/>
  <c r="O101" i="108"/>
  <c r="O100" i="108"/>
  <c r="O99" i="108"/>
  <c r="O98" i="108"/>
  <c r="O97" i="108"/>
  <c r="O96" i="108"/>
  <c r="O95" i="108"/>
  <c r="O94" i="108"/>
  <c r="O93" i="108"/>
  <c r="O92" i="108"/>
  <c r="O91" i="108"/>
  <c r="O90" i="108"/>
  <c r="O89" i="108"/>
  <c r="O88" i="108"/>
  <c r="O87" i="108"/>
  <c r="O86" i="108"/>
  <c r="O85" i="108"/>
  <c r="O84" i="108"/>
  <c r="O83" i="108"/>
  <c r="O82" i="108"/>
  <c r="O81" i="108"/>
  <c r="O80" i="108"/>
  <c r="O79" i="108"/>
  <c r="O78" i="108"/>
  <c r="O77" i="108"/>
  <c r="O76" i="108"/>
  <c r="O75" i="108"/>
  <c r="O74" i="108"/>
  <c r="O73" i="108"/>
  <c r="O72" i="108"/>
  <c r="O71" i="108"/>
  <c r="O70" i="108"/>
  <c r="O69" i="108"/>
  <c r="O68" i="108"/>
  <c r="O67" i="108"/>
  <c r="O66" i="108"/>
  <c r="O65" i="108"/>
  <c r="O64" i="108"/>
  <c r="O63" i="108"/>
  <c r="O62" i="108"/>
  <c r="O61" i="108"/>
  <c r="O60" i="108"/>
  <c r="O59" i="108"/>
  <c r="O58" i="108"/>
  <c r="O57" i="108"/>
  <c r="O56" i="108"/>
  <c r="O55" i="108"/>
  <c r="O54" i="108"/>
  <c r="O53" i="108"/>
  <c r="O52" i="108"/>
  <c r="O51" i="108"/>
  <c r="O50" i="108"/>
  <c r="O49" i="108"/>
  <c r="O48" i="108"/>
  <c r="O47" i="108"/>
  <c r="O46" i="108"/>
  <c r="O45" i="108"/>
  <c r="O44" i="108"/>
  <c r="O43" i="108"/>
  <c r="O42" i="108"/>
  <c r="O41" i="108"/>
  <c r="O40" i="108"/>
  <c r="O39" i="108"/>
  <c r="O38" i="108"/>
  <c r="O37" i="108"/>
  <c r="O36" i="108"/>
  <c r="O35" i="108"/>
  <c r="O34" i="108"/>
  <c r="O33" i="108"/>
  <c r="O32" i="108"/>
  <c r="O31" i="108"/>
  <c r="E31" i="108"/>
  <c r="O30" i="108"/>
  <c r="O29" i="108"/>
  <c r="O28" i="108"/>
  <c r="O27" i="108"/>
  <c r="E27" i="108"/>
  <c r="O26" i="108"/>
  <c r="E26" i="108"/>
  <c r="O25" i="108"/>
  <c r="F25" i="108"/>
  <c r="O24" i="108"/>
  <c r="O23" i="108"/>
  <c r="O22" i="108"/>
  <c r="O21" i="108"/>
  <c r="O20" i="108"/>
  <c r="O19" i="108"/>
  <c r="O18" i="108"/>
  <c r="O17" i="108"/>
  <c r="B17" i="108"/>
  <c r="O16" i="108"/>
  <c r="B16" i="108"/>
  <c r="O15" i="108"/>
  <c r="O14" i="108"/>
  <c r="O13" i="108"/>
  <c r="O12" i="108"/>
  <c r="B12" i="108"/>
  <c r="U11" i="108" s="1"/>
  <c r="V11" i="108" s="1"/>
  <c r="O11" i="108"/>
  <c r="B11" i="108"/>
  <c r="B37" i="108" s="1"/>
  <c r="O10" i="108"/>
  <c r="B10" i="108"/>
  <c r="O9" i="108"/>
  <c r="B9" i="108"/>
  <c r="O8" i="108"/>
  <c r="O7" i="108"/>
  <c r="O6" i="108"/>
  <c r="O5" i="108"/>
  <c r="O4" i="108"/>
  <c r="B4" i="108"/>
  <c r="O3" i="108"/>
  <c r="B3" i="108"/>
  <c r="O252" i="107"/>
  <c r="O251" i="107"/>
  <c r="O250" i="107"/>
  <c r="O249" i="107"/>
  <c r="O248" i="107"/>
  <c r="O247" i="107"/>
  <c r="O246" i="107"/>
  <c r="O245" i="107"/>
  <c r="O244" i="107"/>
  <c r="O243" i="107"/>
  <c r="O242" i="107"/>
  <c r="O241" i="107"/>
  <c r="O240" i="107"/>
  <c r="O239" i="107"/>
  <c r="O238" i="107"/>
  <c r="O237" i="107"/>
  <c r="O236" i="107"/>
  <c r="O235" i="107"/>
  <c r="O234" i="107"/>
  <c r="O233" i="107"/>
  <c r="O232" i="107"/>
  <c r="O231" i="107"/>
  <c r="O230" i="107"/>
  <c r="O229" i="107"/>
  <c r="O228" i="107"/>
  <c r="O227" i="107"/>
  <c r="O226" i="107"/>
  <c r="O225" i="107"/>
  <c r="O224" i="107"/>
  <c r="O223" i="107"/>
  <c r="O222" i="107"/>
  <c r="O221" i="107"/>
  <c r="O220" i="107"/>
  <c r="O219" i="107"/>
  <c r="O218" i="107"/>
  <c r="O217" i="107"/>
  <c r="O216" i="107"/>
  <c r="O215" i="107"/>
  <c r="O214" i="107"/>
  <c r="O213" i="107"/>
  <c r="O212" i="107"/>
  <c r="O211" i="107"/>
  <c r="O210" i="107"/>
  <c r="O209" i="107"/>
  <c r="O208" i="107"/>
  <c r="O207" i="107"/>
  <c r="O206" i="107"/>
  <c r="O205" i="107"/>
  <c r="O204" i="107"/>
  <c r="O203" i="107"/>
  <c r="O202" i="107"/>
  <c r="O201" i="107"/>
  <c r="O200" i="107"/>
  <c r="O199" i="107"/>
  <c r="O198" i="107"/>
  <c r="O197" i="107"/>
  <c r="O196" i="107"/>
  <c r="O195" i="107"/>
  <c r="O194" i="107"/>
  <c r="O193" i="107"/>
  <c r="O192" i="107"/>
  <c r="O191" i="107"/>
  <c r="O190" i="107"/>
  <c r="O189" i="107"/>
  <c r="O188" i="107"/>
  <c r="O187" i="107"/>
  <c r="O186" i="107"/>
  <c r="O185" i="107"/>
  <c r="O184" i="107"/>
  <c r="O183" i="107"/>
  <c r="O182" i="107"/>
  <c r="O181" i="107"/>
  <c r="O180" i="107"/>
  <c r="O179" i="107"/>
  <c r="O178" i="107"/>
  <c r="O177" i="107"/>
  <c r="O176" i="107"/>
  <c r="O175" i="107"/>
  <c r="O174" i="107"/>
  <c r="O173" i="107"/>
  <c r="O172" i="107"/>
  <c r="O171" i="107"/>
  <c r="O170" i="107"/>
  <c r="O169" i="107"/>
  <c r="O168" i="107"/>
  <c r="O167" i="107"/>
  <c r="O166" i="107"/>
  <c r="O165" i="107"/>
  <c r="O164" i="107"/>
  <c r="O163" i="107"/>
  <c r="O162" i="107"/>
  <c r="O161" i="107"/>
  <c r="O160" i="107"/>
  <c r="O159" i="107"/>
  <c r="O158" i="107"/>
  <c r="O157" i="107"/>
  <c r="O156" i="107"/>
  <c r="O155" i="107"/>
  <c r="O154" i="107"/>
  <c r="O153" i="107"/>
  <c r="O152" i="107"/>
  <c r="O151" i="107"/>
  <c r="O150" i="107"/>
  <c r="O149" i="107"/>
  <c r="O148" i="107"/>
  <c r="O147" i="107"/>
  <c r="O146" i="107"/>
  <c r="O145" i="107"/>
  <c r="O144" i="107"/>
  <c r="O143" i="107"/>
  <c r="O142" i="107"/>
  <c r="O141" i="107"/>
  <c r="O140" i="107"/>
  <c r="O139" i="107"/>
  <c r="O138" i="107"/>
  <c r="O137" i="107"/>
  <c r="O136" i="107"/>
  <c r="O135" i="107"/>
  <c r="O134" i="107"/>
  <c r="O133" i="107"/>
  <c r="O132" i="107"/>
  <c r="O131" i="107"/>
  <c r="O130" i="107"/>
  <c r="O129" i="107"/>
  <c r="O128" i="107"/>
  <c r="O127" i="107"/>
  <c r="O126" i="107"/>
  <c r="O125" i="107"/>
  <c r="O124" i="107"/>
  <c r="O123" i="107"/>
  <c r="G123" i="107"/>
  <c r="O122" i="107"/>
  <c r="G122" i="107"/>
  <c r="O121" i="107"/>
  <c r="O120" i="107"/>
  <c r="G120" i="107"/>
  <c r="O119" i="107"/>
  <c r="G119" i="107"/>
  <c r="O118" i="107"/>
  <c r="G118" i="107"/>
  <c r="O117" i="107"/>
  <c r="O116" i="107"/>
  <c r="O115" i="107"/>
  <c r="O114" i="107"/>
  <c r="O113" i="107"/>
  <c r="O112" i="107"/>
  <c r="O111" i="107"/>
  <c r="O110" i="107"/>
  <c r="O109" i="107"/>
  <c r="O108" i="107"/>
  <c r="O107" i="107"/>
  <c r="O106" i="107"/>
  <c r="O105" i="107"/>
  <c r="O104" i="107"/>
  <c r="O103" i="107"/>
  <c r="O102" i="107"/>
  <c r="O101" i="107"/>
  <c r="O100" i="107"/>
  <c r="O99" i="107"/>
  <c r="O98" i="107"/>
  <c r="O97" i="107"/>
  <c r="O96" i="107"/>
  <c r="O95" i="107"/>
  <c r="O94" i="107"/>
  <c r="O93" i="107"/>
  <c r="O92" i="107"/>
  <c r="O91" i="107"/>
  <c r="O90" i="107"/>
  <c r="O89" i="107"/>
  <c r="O88" i="107"/>
  <c r="O87" i="107"/>
  <c r="O86" i="107"/>
  <c r="O85" i="107"/>
  <c r="O84" i="107"/>
  <c r="O83" i="107"/>
  <c r="O82" i="107"/>
  <c r="O81" i="107"/>
  <c r="O80" i="107"/>
  <c r="O79" i="107"/>
  <c r="O78" i="107"/>
  <c r="O77" i="107"/>
  <c r="O76" i="107"/>
  <c r="O75" i="107"/>
  <c r="O74" i="107"/>
  <c r="O73" i="107"/>
  <c r="O72" i="107"/>
  <c r="O71" i="107"/>
  <c r="O70" i="107"/>
  <c r="O69" i="107"/>
  <c r="O68" i="107"/>
  <c r="O67" i="107"/>
  <c r="O66" i="107"/>
  <c r="O65" i="107"/>
  <c r="O64" i="107"/>
  <c r="O63" i="107"/>
  <c r="O62" i="107"/>
  <c r="O61" i="107"/>
  <c r="O60" i="107"/>
  <c r="O59" i="107"/>
  <c r="O58" i="107"/>
  <c r="O57" i="107"/>
  <c r="O56" i="107"/>
  <c r="O55" i="107"/>
  <c r="O54" i="107"/>
  <c r="O53" i="107"/>
  <c r="O52" i="107"/>
  <c r="O51" i="107"/>
  <c r="O50" i="107"/>
  <c r="O49" i="107"/>
  <c r="O48" i="107"/>
  <c r="O47" i="107"/>
  <c r="O46" i="107"/>
  <c r="O45" i="107"/>
  <c r="O44" i="107"/>
  <c r="O43" i="107"/>
  <c r="O42" i="107"/>
  <c r="O41" i="107"/>
  <c r="O40" i="107"/>
  <c r="O39" i="107"/>
  <c r="O38" i="107"/>
  <c r="O37" i="107"/>
  <c r="O36" i="107"/>
  <c r="O35" i="107"/>
  <c r="O34" i="107"/>
  <c r="O33" i="107"/>
  <c r="O32" i="107"/>
  <c r="O31" i="107"/>
  <c r="O30" i="107"/>
  <c r="O29" i="107"/>
  <c r="O28" i="107"/>
  <c r="O27" i="107"/>
  <c r="E27" i="107"/>
  <c r="O26" i="107"/>
  <c r="E26" i="107"/>
  <c r="E31" i="107" s="1"/>
  <c r="O25" i="107"/>
  <c r="F25" i="107"/>
  <c r="O24" i="107"/>
  <c r="O23" i="107"/>
  <c r="O22" i="107"/>
  <c r="O21" i="107"/>
  <c r="O20" i="107"/>
  <c r="O19" i="107"/>
  <c r="O18" i="107"/>
  <c r="O17" i="107"/>
  <c r="B17" i="107"/>
  <c r="O16" i="107"/>
  <c r="B16" i="107"/>
  <c r="O15" i="107"/>
  <c r="O14" i="107"/>
  <c r="O13" i="107"/>
  <c r="O12" i="107"/>
  <c r="B12" i="107"/>
  <c r="U11" i="107" s="1"/>
  <c r="V11" i="107" s="1"/>
  <c r="O11" i="107"/>
  <c r="B11" i="107"/>
  <c r="B37" i="107" s="1"/>
  <c r="O10" i="107"/>
  <c r="B10" i="107"/>
  <c r="O9" i="107"/>
  <c r="B9" i="107"/>
  <c r="O8" i="107"/>
  <c r="O7" i="107"/>
  <c r="O6" i="107"/>
  <c r="O5" i="107"/>
  <c r="O4" i="107"/>
  <c r="B4" i="107"/>
  <c r="O3" i="107"/>
  <c r="B3" i="107"/>
  <c r="O252" i="106"/>
  <c r="O251" i="106"/>
  <c r="O250" i="106"/>
  <c r="O249" i="106"/>
  <c r="O248" i="106"/>
  <c r="O247" i="106"/>
  <c r="O246" i="106"/>
  <c r="O245" i="106"/>
  <c r="O244" i="106"/>
  <c r="O243" i="106"/>
  <c r="O242" i="106"/>
  <c r="O241" i="106"/>
  <c r="O240" i="106"/>
  <c r="O239" i="106"/>
  <c r="O238" i="106"/>
  <c r="O237" i="106"/>
  <c r="O236" i="106"/>
  <c r="O235" i="106"/>
  <c r="O234" i="106"/>
  <c r="O233" i="106"/>
  <c r="O232" i="106"/>
  <c r="O231" i="106"/>
  <c r="O230" i="106"/>
  <c r="O229" i="106"/>
  <c r="O228" i="106"/>
  <c r="O227" i="106"/>
  <c r="O226" i="106"/>
  <c r="O225" i="106"/>
  <c r="O224" i="106"/>
  <c r="O223" i="106"/>
  <c r="O222" i="106"/>
  <c r="O221" i="106"/>
  <c r="O220" i="106"/>
  <c r="O219" i="106"/>
  <c r="O218" i="106"/>
  <c r="O217" i="106"/>
  <c r="O216" i="106"/>
  <c r="O215" i="106"/>
  <c r="O214" i="106"/>
  <c r="O213" i="106"/>
  <c r="O212" i="106"/>
  <c r="O211" i="106"/>
  <c r="O210" i="106"/>
  <c r="O209" i="106"/>
  <c r="O208" i="106"/>
  <c r="O207" i="106"/>
  <c r="O206" i="106"/>
  <c r="O205" i="106"/>
  <c r="O204" i="106"/>
  <c r="O203" i="106"/>
  <c r="O202" i="106"/>
  <c r="O201" i="106"/>
  <c r="O200" i="106"/>
  <c r="O199" i="106"/>
  <c r="O198" i="106"/>
  <c r="O197" i="106"/>
  <c r="O196" i="106"/>
  <c r="O195" i="106"/>
  <c r="O194" i="106"/>
  <c r="O193" i="106"/>
  <c r="O192" i="106"/>
  <c r="O191" i="106"/>
  <c r="O190" i="106"/>
  <c r="O189" i="106"/>
  <c r="O188" i="106"/>
  <c r="O187" i="106"/>
  <c r="O186" i="106"/>
  <c r="O185" i="106"/>
  <c r="O184" i="106"/>
  <c r="O183" i="106"/>
  <c r="O182" i="106"/>
  <c r="O181" i="106"/>
  <c r="O180" i="106"/>
  <c r="O179" i="106"/>
  <c r="O178" i="106"/>
  <c r="O177" i="106"/>
  <c r="O176" i="106"/>
  <c r="O175" i="106"/>
  <c r="O174" i="106"/>
  <c r="O173" i="106"/>
  <c r="O172" i="106"/>
  <c r="O171" i="106"/>
  <c r="O170" i="106"/>
  <c r="O169" i="106"/>
  <c r="O168" i="106"/>
  <c r="O167" i="106"/>
  <c r="O166" i="106"/>
  <c r="O165" i="106"/>
  <c r="O164" i="106"/>
  <c r="O163" i="106"/>
  <c r="O162" i="106"/>
  <c r="O161" i="106"/>
  <c r="O160" i="106"/>
  <c r="O159" i="106"/>
  <c r="O158" i="106"/>
  <c r="O157" i="106"/>
  <c r="O156" i="106"/>
  <c r="O155" i="106"/>
  <c r="O154" i="106"/>
  <c r="O153" i="106"/>
  <c r="O152" i="106"/>
  <c r="O151" i="106"/>
  <c r="O150" i="106"/>
  <c r="O149" i="106"/>
  <c r="O148" i="106"/>
  <c r="O147" i="106"/>
  <c r="O146" i="106"/>
  <c r="O145" i="106"/>
  <c r="O144" i="106"/>
  <c r="O143" i="106"/>
  <c r="O142" i="106"/>
  <c r="O141" i="106"/>
  <c r="O140" i="106"/>
  <c r="O139" i="106"/>
  <c r="O138" i="106"/>
  <c r="O137" i="106"/>
  <c r="O136" i="106"/>
  <c r="O135" i="106"/>
  <c r="O134" i="106"/>
  <c r="O133" i="106"/>
  <c r="O132" i="106"/>
  <c r="O131" i="106"/>
  <c r="O130" i="106"/>
  <c r="O129" i="106"/>
  <c r="O128" i="106"/>
  <c r="O127" i="106"/>
  <c r="O126" i="106"/>
  <c r="O125" i="106"/>
  <c r="O124" i="106"/>
  <c r="O123" i="106"/>
  <c r="G123" i="106"/>
  <c r="O122" i="106"/>
  <c r="G122" i="106"/>
  <c r="O121" i="106"/>
  <c r="O120" i="106"/>
  <c r="G120" i="106"/>
  <c r="O119" i="106"/>
  <c r="G119" i="106"/>
  <c r="O118" i="106"/>
  <c r="G118" i="106"/>
  <c r="O117" i="106"/>
  <c r="O116" i="106"/>
  <c r="O115" i="106"/>
  <c r="O114" i="106"/>
  <c r="O113" i="106"/>
  <c r="O112" i="106"/>
  <c r="O111" i="106"/>
  <c r="O110" i="106"/>
  <c r="O109" i="106"/>
  <c r="O108" i="106"/>
  <c r="O107" i="106"/>
  <c r="O106" i="106"/>
  <c r="O105" i="106"/>
  <c r="O104" i="106"/>
  <c r="O103" i="106"/>
  <c r="O102" i="106"/>
  <c r="O101" i="106"/>
  <c r="O100" i="106"/>
  <c r="O99" i="106"/>
  <c r="O98" i="106"/>
  <c r="O97" i="106"/>
  <c r="O96" i="106"/>
  <c r="O95" i="106"/>
  <c r="O94" i="106"/>
  <c r="O93" i="106"/>
  <c r="O92" i="106"/>
  <c r="O91" i="106"/>
  <c r="O90" i="106"/>
  <c r="O89" i="106"/>
  <c r="O88" i="106"/>
  <c r="O87" i="106"/>
  <c r="O86" i="106"/>
  <c r="O85" i="106"/>
  <c r="O84" i="106"/>
  <c r="O83" i="106"/>
  <c r="O82" i="106"/>
  <c r="O81" i="106"/>
  <c r="O80" i="106"/>
  <c r="O79" i="106"/>
  <c r="O78" i="106"/>
  <c r="O77" i="106"/>
  <c r="O76" i="106"/>
  <c r="O75" i="106"/>
  <c r="O74" i="106"/>
  <c r="O73" i="106"/>
  <c r="O72" i="106"/>
  <c r="O71" i="106"/>
  <c r="O70" i="106"/>
  <c r="O69" i="106"/>
  <c r="O68" i="106"/>
  <c r="O67" i="106"/>
  <c r="O66" i="106"/>
  <c r="O65" i="106"/>
  <c r="O64" i="106"/>
  <c r="O63" i="106"/>
  <c r="O62" i="106"/>
  <c r="O61" i="106"/>
  <c r="O60" i="106"/>
  <c r="O59" i="106"/>
  <c r="O58" i="106"/>
  <c r="O57" i="106"/>
  <c r="O56" i="106"/>
  <c r="O55" i="106"/>
  <c r="O54" i="106"/>
  <c r="O53" i="106"/>
  <c r="O52" i="106"/>
  <c r="O51" i="106"/>
  <c r="O50" i="106"/>
  <c r="O49" i="106"/>
  <c r="O48" i="106"/>
  <c r="O47" i="106"/>
  <c r="O46" i="106"/>
  <c r="O45" i="106"/>
  <c r="O44" i="106"/>
  <c r="O43" i="106"/>
  <c r="O42" i="106"/>
  <c r="O41" i="106"/>
  <c r="O40" i="106"/>
  <c r="O39" i="106"/>
  <c r="O38" i="106"/>
  <c r="O37" i="106"/>
  <c r="O36" i="106"/>
  <c r="O35" i="106"/>
  <c r="O34" i="106"/>
  <c r="O33" i="106"/>
  <c r="O32" i="106"/>
  <c r="O31" i="106"/>
  <c r="O30" i="106"/>
  <c r="O29" i="106"/>
  <c r="O28" i="106"/>
  <c r="O27" i="106"/>
  <c r="F27" i="106"/>
  <c r="E27" i="106"/>
  <c r="O26" i="106"/>
  <c r="E26" i="106"/>
  <c r="F28" i="106" s="1"/>
  <c r="O25" i="106"/>
  <c r="F25" i="106"/>
  <c r="O24" i="106"/>
  <c r="O23" i="106"/>
  <c r="O22" i="106"/>
  <c r="O21" i="106"/>
  <c r="O20" i="106"/>
  <c r="O19" i="106"/>
  <c r="O18" i="106"/>
  <c r="O17" i="106"/>
  <c r="B17" i="106"/>
  <c r="O16" i="106"/>
  <c r="B16" i="106"/>
  <c r="O15" i="106"/>
  <c r="O14" i="106"/>
  <c r="O13" i="106"/>
  <c r="O12" i="106"/>
  <c r="B12" i="106"/>
  <c r="U11" i="106" s="1"/>
  <c r="V11" i="106" s="1"/>
  <c r="O11" i="106"/>
  <c r="B11" i="106"/>
  <c r="B37" i="106" s="1"/>
  <c r="O10" i="106"/>
  <c r="B10" i="106"/>
  <c r="O9" i="106"/>
  <c r="B9" i="106"/>
  <c r="O8" i="106"/>
  <c r="O7" i="106"/>
  <c r="O6" i="106"/>
  <c r="O5" i="106"/>
  <c r="O4" i="106"/>
  <c r="B4" i="106"/>
  <c r="O3" i="106"/>
  <c r="B3" i="106"/>
  <c r="O252" i="105"/>
  <c r="O251" i="105"/>
  <c r="O250" i="105"/>
  <c r="O249" i="105"/>
  <c r="O248" i="105"/>
  <c r="O247" i="105"/>
  <c r="O246" i="105"/>
  <c r="O245" i="105"/>
  <c r="O244" i="105"/>
  <c r="O243" i="105"/>
  <c r="O242" i="105"/>
  <c r="O241" i="105"/>
  <c r="O240" i="105"/>
  <c r="O239" i="105"/>
  <c r="O238" i="105"/>
  <c r="O237" i="105"/>
  <c r="O236" i="105"/>
  <c r="O235" i="105"/>
  <c r="O234" i="105"/>
  <c r="O233" i="105"/>
  <c r="O232" i="105"/>
  <c r="O231" i="105"/>
  <c r="O230" i="105"/>
  <c r="O229" i="105"/>
  <c r="O228" i="105"/>
  <c r="O227" i="105"/>
  <c r="O226" i="105"/>
  <c r="O225" i="105"/>
  <c r="O224" i="105"/>
  <c r="O223" i="105"/>
  <c r="O222" i="105"/>
  <c r="O221" i="105"/>
  <c r="O220" i="105"/>
  <c r="O219" i="105"/>
  <c r="O218" i="105"/>
  <c r="O217" i="105"/>
  <c r="O216" i="105"/>
  <c r="O215" i="105"/>
  <c r="O214" i="105"/>
  <c r="O213" i="105"/>
  <c r="O212" i="105"/>
  <c r="O211" i="105"/>
  <c r="O210" i="105"/>
  <c r="O209" i="105"/>
  <c r="O208" i="105"/>
  <c r="O207" i="105"/>
  <c r="O206" i="105"/>
  <c r="O205" i="105"/>
  <c r="O204" i="105"/>
  <c r="O203" i="105"/>
  <c r="O202" i="105"/>
  <c r="O201" i="105"/>
  <c r="O200" i="105"/>
  <c r="O199" i="105"/>
  <c r="O198" i="105"/>
  <c r="O197" i="105"/>
  <c r="O196" i="105"/>
  <c r="O195" i="105"/>
  <c r="O194" i="105"/>
  <c r="O193" i="105"/>
  <c r="O192" i="105"/>
  <c r="O191" i="105"/>
  <c r="O190" i="105"/>
  <c r="O189" i="105"/>
  <c r="O188" i="105"/>
  <c r="O187" i="105"/>
  <c r="O186" i="105"/>
  <c r="O185" i="105"/>
  <c r="O184" i="105"/>
  <c r="O183" i="105"/>
  <c r="O182" i="105"/>
  <c r="O181" i="105"/>
  <c r="O180" i="105"/>
  <c r="O179" i="105"/>
  <c r="O178" i="105"/>
  <c r="O177" i="105"/>
  <c r="O176" i="105"/>
  <c r="O175" i="105"/>
  <c r="O174" i="105"/>
  <c r="O173" i="105"/>
  <c r="O172" i="105"/>
  <c r="O171" i="105"/>
  <c r="O170" i="105"/>
  <c r="O169" i="105"/>
  <c r="O168" i="105"/>
  <c r="O167" i="105"/>
  <c r="O166" i="105"/>
  <c r="O165" i="105"/>
  <c r="O164" i="105"/>
  <c r="O163" i="105"/>
  <c r="O162" i="105"/>
  <c r="O161" i="105"/>
  <c r="O160" i="105"/>
  <c r="O159" i="105"/>
  <c r="O158" i="105"/>
  <c r="O157" i="105"/>
  <c r="O156" i="105"/>
  <c r="O155" i="105"/>
  <c r="O154" i="105"/>
  <c r="O153" i="105"/>
  <c r="O152" i="105"/>
  <c r="O151" i="105"/>
  <c r="O150" i="105"/>
  <c r="O149" i="105"/>
  <c r="O148" i="105"/>
  <c r="O147" i="105"/>
  <c r="O146" i="105"/>
  <c r="O145" i="105"/>
  <c r="O144" i="105"/>
  <c r="O143" i="105"/>
  <c r="O142" i="105"/>
  <c r="O141" i="105"/>
  <c r="O140" i="105"/>
  <c r="O139" i="105"/>
  <c r="O138" i="105"/>
  <c r="O137" i="105"/>
  <c r="O136" i="105"/>
  <c r="O135" i="105"/>
  <c r="O134" i="105"/>
  <c r="O133" i="105"/>
  <c r="O132" i="105"/>
  <c r="O131" i="105"/>
  <c r="O130" i="105"/>
  <c r="O129" i="105"/>
  <c r="O128" i="105"/>
  <c r="O127" i="105"/>
  <c r="O126" i="105"/>
  <c r="O125" i="105"/>
  <c r="O124" i="105"/>
  <c r="O123" i="105"/>
  <c r="G123" i="105"/>
  <c r="O122" i="105"/>
  <c r="G122" i="105"/>
  <c r="O121" i="105"/>
  <c r="O120" i="105"/>
  <c r="G120" i="105"/>
  <c r="O119" i="105"/>
  <c r="G119" i="105"/>
  <c r="O118" i="105"/>
  <c r="G118" i="105"/>
  <c r="O117" i="105"/>
  <c r="O116" i="105"/>
  <c r="O115" i="105"/>
  <c r="O114" i="105"/>
  <c r="O113" i="105"/>
  <c r="O112" i="105"/>
  <c r="O111" i="105"/>
  <c r="O110" i="105"/>
  <c r="O109" i="105"/>
  <c r="O108" i="105"/>
  <c r="O107" i="105"/>
  <c r="O106" i="105"/>
  <c r="O105" i="105"/>
  <c r="O104" i="105"/>
  <c r="O103" i="105"/>
  <c r="O102" i="105"/>
  <c r="O101" i="105"/>
  <c r="O100" i="105"/>
  <c r="O99" i="105"/>
  <c r="O98" i="105"/>
  <c r="O97" i="105"/>
  <c r="O96" i="105"/>
  <c r="O95" i="105"/>
  <c r="O94" i="105"/>
  <c r="O93" i="105"/>
  <c r="O92" i="105"/>
  <c r="O91" i="105"/>
  <c r="O90" i="105"/>
  <c r="O89" i="105"/>
  <c r="O88" i="105"/>
  <c r="O87" i="105"/>
  <c r="O86" i="105"/>
  <c r="O85" i="105"/>
  <c r="O84" i="105"/>
  <c r="O83" i="105"/>
  <c r="O82" i="105"/>
  <c r="O81" i="105"/>
  <c r="O80" i="105"/>
  <c r="O79" i="105"/>
  <c r="O78" i="105"/>
  <c r="O77" i="105"/>
  <c r="O76" i="105"/>
  <c r="O75" i="105"/>
  <c r="O74" i="105"/>
  <c r="O73" i="105"/>
  <c r="O72" i="105"/>
  <c r="O71" i="105"/>
  <c r="O70" i="105"/>
  <c r="O69" i="105"/>
  <c r="O68" i="105"/>
  <c r="O67" i="105"/>
  <c r="O66" i="105"/>
  <c r="O65" i="105"/>
  <c r="O64" i="105"/>
  <c r="O63" i="105"/>
  <c r="O62" i="105"/>
  <c r="O61" i="105"/>
  <c r="O60" i="105"/>
  <c r="O59" i="105"/>
  <c r="O58" i="105"/>
  <c r="O57" i="105"/>
  <c r="O56" i="105"/>
  <c r="O55" i="105"/>
  <c r="O54" i="105"/>
  <c r="O53" i="105"/>
  <c r="O52" i="105"/>
  <c r="O51" i="105"/>
  <c r="O50" i="105"/>
  <c r="O49" i="105"/>
  <c r="O48" i="105"/>
  <c r="O47" i="105"/>
  <c r="O46" i="105"/>
  <c r="O45" i="105"/>
  <c r="O44" i="105"/>
  <c r="O43" i="105"/>
  <c r="O42" i="105"/>
  <c r="O41" i="105"/>
  <c r="O40" i="105"/>
  <c r="O39" i="105"/>
  <c r="O38" i="105"/>
  <c r="O37" i="105"/>
  <c r="O36" i="105"/>
  <c r="O35" i="105"/>
  <c r="O34" i="105"/>
  <c r="O33" i="105"/>
  <c r="O32" i="105"/>
  <c r="O31" i="105"/>
  <c r="O30" i="105"/>
  <c r="O29" i="105"/>
  <c r="O28" i="105"/>
  <c r="O27" i="105"/>
  <c r="E27" i="105"/>
  <c r="F28" i="105" s="1"/>
  <c r="O26" i="105"/>
  <c r="E26" i="105"/>
  <c r="O25" i="105"/>
  <c r="F25" i="105"/>
  <c r="O24" i="105"/>
  <c r="O23" i="105"/>
  <c r="O22" i="105"/>
  <c r="O21" i="105"/>
  <c r="O20" i="105"/>
  <c r="O19" i="105"/>
  <c r="O18" i="105"/>
  <c r="O17" i="105"/>
  <c r="B17" i="105"/>
  <c r="O16" i="105"/>
  <c r="B16" i="105"/>
  <c r="O15" i="105"/>
  <c r="O14" i="105"/>
  <c r="O13" i="105"/>
  <c r="O12" i="105"/>
  <c r="B12" i="105"/>
  <c r="U11" i="105" s="1"/>
  <c r="V11" i="105" s="1"/>
  <c r="O11" i="105"/>
  <c r="B11" i="105"/>
  <c r="B37" i="105" s="1"/>
  <c r="O10" i="105"/>
  <c r="B10" i="105"/>
  <c r="B36" i="105" s="1"/>
  <c r="O9" i="105"/>
  <c r="B9" i="105"/>
  <c r="O8" i="105"/>
  <c r="O7" i="105"/>
  <c r="O6" i="105"/>
  <c r="O5" i="105"/>
  <c r="O4" i="105"/>
  <c r="B4" i="105"/>
  <c r="O3" i="105"/>
  <c r="B3" i="105"/>
  <c r="O252" i="104"/>
  <c r="O251" i="104"/>
  <c r="O250" i="104"/>
  <c r="O249" i="104"/>
  <c r="O248" i="104"/>
  <c r="O247" i="104"/>
  <c r="O246" i="104"/>
  <c r="O245" i="104"/>
  <c r="O244" i="104"/>
  <c r="O243" i="104"/>
  <c r="O242" i="104"/>
  <c r="O241" i="104"/>
  <c r="O240" i="104"/>
  <c r="O239" i="104"/>
  <c r="O238" i="104"/>
  <c r="O237" i="104"/>
  <c r="O236" i="104"/>
  <c r="O235" i="104"/>
  <c r="O234" i="104"/>
  <c r="O233" i="104"/>
  <c r="O232" i="104"/>
  <c r="O231" i="104"/>
  <c r="O230" i="104"/>
  <c r="O229" i="104"/>
  <c r="O228" i="104"/>
  <c r="O227" i="104"/>
  <c r="O226" i="104"/>
  <c r="O225" i="104"/>
  <c r="O224" i="104"/>
  <c r="O223" i="104"/>
  <c r="O222" i="104"/>
  <c r="O221" i="104"/>
  <c r="O220" i="104"/>
  <c r="O219" i="104"/>
  <c r="O218" i="104"/>
  <c r="O217" i="104"/>
  <c r="O216" i="104"/>
  <c r="O215" i="104"/>
  <c r="O214" i="104"/>
  <c r="O213" i="104"/>
  <c r="O212" i="104"/>
  <c r="O211" i="104"/>
  <c r="O210" i="104"/>
  <c r="O209" i="104"/>
  <c r="O208" i="104"/>
  <c r="O207" i="104"/>
  <c r="O206" i="104"/>
  <c r="O205" i="104"/>
  <c r="O204" i="104"/>
  <c r="O203" i="104"/>
  <c r="O202" i="104"/>
  <c r="O201" i="104"/>
  <c r="O200" i="104"/>
  <c r="O199" i="104"/>
  <c r="O198" i="104"/>
  <c r="O197" i="104"/>
  <c r="O196" i="104"/>
  <c r="O195" i="104"/>
  <c r="O194" i="104"/>
  <c r="O193" i="104"/>
  <c r="O192" i="104"/>
  <c r="O191" i="104"/>
  <c r="O190" i="104"/>
  <c r="O189" i="104"/>
  <c r="O188" i="104"/>
  <c r="O187" i="104"/>
  <c r="O186" i="104"/>
  <c r="O185" i="104"/>
  <c r="O184" i="104"/>
  <c r="O183" i="104"/>
  <c r="O182" i="104"/>
  <c r="O181" i="104"/>
  <c r="O180" i="104"/>
  <c r="O179" i="104"/>
  <c r="O178" i="104"/>
  <c r="O177" i="104"/>
  <c r="O176" i="104"/>
  <c r="O175" i="104"/>
  <c r="O174" i="104"/>
  <c r="O173" i="104"/>
  <c r="O172" i="104"/>
  <c r="O171" i="104"/>
  <c r="O170" i="104"/>
  <c r="O169" i="104"/>
  <c r="O168" i="104"/>
  <c r="O167" i="104"/>
  <c r="O166" i="104"/>
  <c r="O165" i="104"/>
  <c r="O164" i="104"/>
  <c r="O163" i="104"/>
  <c r="O162" i="104"/>
  <c r="O161" i="104"/>
  <c r="O160" i="104"/>
  <c r="O159" i="104"/>
  <c r="O158" i="104"/>
  <c r="O157" i="104"/>
  <c r="O156" i="104"/>
  <c r="O155" i="104"/>
  <c r="O154" i="104"/>
  <c r="O153" i="104"/>
  <c r="O152" i="104"/>
  <c r="O151" i="104"/>
  <c r="O150" i="104"/>
  <c r="O149" i="104"/>
  <c r="O148" i="104"/>
  <c r="O147" i="104"/>
  <c r="O146" i="104"/>
  <c r="O145" i="104"/>
  <c r="O144" i="104"/>
  <c r="O143" i="104"/>
  <c r="O142" i="104"/>
  <c r="O141" i="104"/>
  <c r="O140" i="104"/>
  <c r="O139" i="104"/>
  <c r="O138" i="104"/>
  <c r="O137" i="104"/>
  <c r="O136" i="104"/>
  <c r="O135" i="104"/>
  <c r="O134" i="104"/>
  <c r="O133" i="104"/>
  <c r="O132" i="104"/>
  <c r="O131" i="104"/>
  <c r="O130" i="104"/>
  <c r="O129" i="104"/>
  <c r="O128" i="104"/>
  <c r="O127" i="104"/>
  <c r="O126" i="104"/>
  <c r="O125" i="104"/>
  <c r="O124" i="104"/>
  <c r="O123" i="104"/>
  <c r="G123" i="104"/>
  <c r="O122" i="104"/>
  <c r="G122" i="104"/>
  <c r="O121" i="104"/>
  <c r="O120" i="104"/>
  <c r="G120" i="104"/>
  <c r="O119" i="104"/>
  <c r="G119" i="104"/>
  <c r="O118" i="104"/>
  <c r="G118" i="104"/>
  <c r="O117" i="104"/>
  <c r="O116" i="104"/>
  <c r="O115" i="104"/>
  <c r="O114" i="104"/>
  <c r="O113" i="104"/>
  <c r="O112" i="104"/>
  <c r="O111" i="104"/>
  <c r="O110" i="104"/>
  <c r="O109" i="104"/>
  <c r="O108" i="104"/>
  <c r="O107" i="104"/>
  <c r="O106" i="104"/>
  <c r="O105" i="104"/>
  <c r="O104" i="104"/>
  <c r="O103" i="104"/>
  <c r="O102" i="104"/>
  <c r="O101" i="104"/>
  <c r="O100" i="104"/>
  <c r="O99" i="104"/>
  <c r="O98" i="104"/>
  <c r="O97" i="104"/>
  <c r="O96" i="104"/>
  <c r="O95" i="104"/>
  <c r="O94" i="104"/>
  <c r="O93" i="104"/>
  <c r="O92" i="104"/>
  <c r="O91" i="104"/>
  <c r="O90" i="104"/>
  <c r="O89" i="104"/>
  <c r="O88" i="104"/>
  <c r="O87" i="104"/>
  <c r="O86" i="104"/>
  <c r="O85" i="104"/>
  <c r="O84" i="104"/>
  <c r="O83" i="104"/>
  <c r="O82" i="104"/>
  <c r="O81" i="104"/>
  <c r="O80" i="104"/>
  <c r="O79" i="104"/>
  <c r="O78" i="104"/>
  <c r="O77" i="104"/>
  <c r="O76" i="104"/>
  <c r="O75" i="104"/>
  <c r="O74" i="104"/>
  <c r="O73" i="104"/>
  <c r="O72" i="104"/>
  <c r="O71" i="104"/>
  <c r="O70" i="104"/>
  <c r="O69" i="104"/>
  <c r="O68" i="104"/>
  <c r="O67" i="104"/>
  <c r="O66" i="104"/>
  <c r="O65" i="104"/>
  <c r="O64" i="104"/>
  <c r="O63" i="104"/>
  <c r="O62" i="104"/>
  <c r="O61" i="104"/>
  <c r="O60" i="104"/>
  <c r="O59" i="104"/>
  <c r="O58" i="104"/>
  <c r="O57" i="104"/>
  <c r="O56" i="104"/>
  <c r="O55" i="104"/>
  <c r="O54" i="104"/>
  <c r="O53" i="104"/>
  <c r="O52" i="104"/>
  <c r="O51" i="104"/>
  <c r="O50" i="104"/>
  <c r="O49" i="104"/>
  <c r="O48" i="104"/>
  <c r="O47" i="104"/>
  <c r="O46" i="104"/>
  <c r="O45" i="104"/>
  <c r="O44" i="104"/>
  <c r="O43" i="104"/>
  <c r="O42" i="104"/>
  <c r="O41" i="104"/>
  <c r="O40" i="104"/>
  <c r="O39" i="104"/>
  <c r="O38" i="104"/>
  <c r="O37" i="104"/>
  <c r="O36" i="104"/>
  <c r="O35" i="104"/>
  <c r="O34" i="104"/>
  <c r="O33" i="104"/>
  <c r="O32" i="104"/>
  <c r="O31" i="104"/>
  <c r="O30" i="104"/>
  <c r="O29" i="104"/>
  <c r="O28" i="104"/>
  <c r="O27" i="104"/>
  <c r="E27" i="104"/>
  <c r="O26" i="104"/>
  <c r="E26" i="104"/>
  <c r="E30" i="104" s="1"/>
  <c r="O25" i="104"/>
  <c r="F25" i="104"/>
  <c r="O24" i="104"/>
  <c r="O23" i="104"/>
  <c r="O22" i="104"/>
  <c r="O21" i="104"/>
  <c r="O20" i="104"/>
  <c r="O19" i="104"/>
  <c r="O18" i="104"/>
  <c r="O17" i="104"/>
  <c r="B17" i="104"/>
  <c r="O16" i="104"/>
  <c r="B16" i="104"/>
  <c r="O15" i="104"/>
  <c r="O14" i="104"/>
  <c r="O13" i="104"/>
  <c r="O12" i="104"/>
  <c r="B12" i="104"/>
  <c r="U11" i="104" s="1"/>
  <c r="V11" i="104" s="1"/>
  <c r="O11" i="104"/>
  <c r="B11" i="104"/>
  <c r="O10" i="104"/>
  <c r="B10" i="104"/>
  <c r="O9" i="104"/>
  <c r="B9" i="104"/>
  <c r="O8" i="104"/>
  <c r="O7" i="104"/>
  <c r="O6" i="104"/>
  <c r="O5" i="104"/>
  <c r="O4" i="104"/>
  <c r="B4" i="104"/>
  <c r="O3" i="104"/>
  <c r="B3" i="104"/>
  <c r="O252" i="102"/>
  <c r="O251" i="102"/>
  <c r="O250" i="102"/>
  <c r="O249" i="102"/>
  <c r="O248" i="102"/>
  <c r="O247" i="102"/>
  <c r="O246" i="102"/>
  <c r="O245" i="102"/>
  <c r="O244" i="102"/>
  <c r="O243" i="102"/>
  <c r="O242" i="102"/>
  <c r="O241" i="102"/>
  <c r="O240" i="102"/>
  <c r="O239" i="102"/>
  <c r="O238" i="102"/>
  <c r="O237" i="102"/>
  <c r="O236" i="102"/>
  <c r="O235" i="102"/>
  <c r="O234" i="102"/>
  <c r="O233" i="102"/>
  <c r="O232" i="102"/>
  <c r="O231" i="102"/>
  <c r="O230" i="102"/>
  <c r="O229" i="102"/>
  <c r="O228" i="102"/>
  <c r="O227" i="102"/>
  <c r="O226" i="102"/>
  <c r="O225" i="102"/>
  <c r="O224" i="102"/>
  <c r="O223" i="102"/>
  <c r="O222" i="102"/>
  <c r="O221" i="102"/>
  <c r="O220" i="102"/>
  <c r="O219" i="102"/>
  <c r="O218" i="102"/>
  <c r="O217" i="102"/>
  <c r="O216" i="102"/>
  <c r="O215" i="102"/>
  <c r="O214" i="102"/>
  <c r="O213" i="102"/>
  <c r="O212" i="102"/>
  <c r="O211" i="102"/>
  <c r="O210" i="102"/>
  <c r="O209" i="102"/>
  <c r="O208" i="102"/>
  <c r="O207" i="102"/>
  <c r="O206" i="102"/>
  <c r="O205" i="102"/>
  <c r="O204" i="102"/>
  <c r="O203" i="102"/>
  <c r="O202" i="102"/>
  <c r="O201" i="102"/>
  <c r="O200" i="102"/>
  <c r="O199" i="102"/>
  <c r="O198" i="102"/>
  <c r="O197" i="102"/>
  <c r="O196" i="102"/>
  <c r="O195" i="102"/>
  <c r="O194" i="102"/>
  <c r="O193" i="102"/>
  <c r="O192" i="102"/>
  <c r="O191" i="102"/>
  <c r="O190" i="102"/>
  <c r="O189" i="102"/>
  <c r="O188" i="102"/>
  <c r="O187" i="102"/>
  <c r="O186" i="102"/>
  <c r="O185" i="102"/>
  <c r="O184" i="102"/>
  <c r="O183" i="102"/>
  <c r="O182" i="102"/>
  <c r="O181" i="102"/>
  <c r="O180" i="102"/>
  <c r="O179" i="102"/>
  <c r="O178" i="102"/>
  <c r="O177" i="102"/>
  <c r="O176" i="102"/>
  <c r="O175" i="102"/>
  <c r="O174" i="102"/>
  <c r="O173" i="102"/>
  <c r="O172" i="102"/>
  <c r="O171" i="102"/>
  <c r="O170" i="102"/>
  <c r="O169" i="102"/>
  <c r="O168" i="102"/>
  <c r="O167" i="102"/>
  <c r="O166" i="102"/>
  <c r="O165" i="102"/>
  <c r="O164" i="102"/>
  <c r="O163" i="102"/>
  <c r="O162" i="102"/>
  <c r="O161" i="102"/>
  <c r="O160" i="102"/>
  <c r="O159" i="102"/>
  <c r="O158" i="102"/>
  <c r="O157" i="102"/>
  <c r="O156" i="102"/>
  <c r="O155" i="102"/>
  <c r="O154" i="102"/>
  <c r="O153" i="102"/>
  <c r="O152" i="102"/>
  <c r="O151" i="102"/>
  <c r="O150" i="102"/>
  <c r="O149" i="102"/>
  <c r="O148" i="102"/>
  <c r="O147" i="102"/>
  <c r="O146" i="102"/>
  <c r="O145" i="102"/>
  <c r="O144" i="102"/>
  <c r="O143" i="102"/>
  <c r="O142" i="102"/>
  <c r="O141" i="102"/>
  <c r="O140" i="102"/>
  <c r="O139" i="102"/>
  <c r="O138" i="102"/>
  <c r="O137" i="102"/>
  <c r="O136" i="102"/>
  <c r="O135" i="102"/>
  <c r="O134" i="102"/>
  <c r="O133" i="102"/>
  <c r="O132" i="102"/>
  <c r="O131" i="102"/>
  <c r="O130" i="102"/>
  <c r="O129" i="102"/>
  <c r="O128" i="102"/>
  <c r="O127" i="102"/>
  <c r="O126" i="102"/>
  <c r="O125" i="102"/>
  <c r="O124" i="102"/>
  <c r="O123" i="102"/>
  <c r="G123" i="102"/>
  <c r="O122" i="102"/>
  <c r="G122" i="102"/>
  <c r="O121" i="102"/>
  <c r="O120" i="102"/>
  <c r="G120" i="102"/>
  <c r="O119" i="102"/>
  <c r="G119" i="102"/>
  <c r="O118" i="102"/>
  <c r="G118" i="102"/>
  <c r="O117" i="102"/>
  <c r="O116" i="102"/>
  <c r="O115" i="102"/>
  <c r="O114" i="102"/>
  <c r="O113" i="102"/>
  <c r="O112" i="102"/>
  <c r="O111" i="102"/>
  <c r="O110" i="102"/>
  <c r="O109" i="102"/>
  <c r="O108" i="102"/>
  <c r="O107" i="102"/>
  <c r="O106" i="102"/>
  <c r="O105" i="102"/>
  <c r="O104" i="102"/>
  <c r="O103" i="102"/>
  <c r="O102" i="102"/>
  <c r="O101" i="102"/>
  <c r="O100" i="102"/>
  <c r="O99" i="102"/>
  <c r="O98" i="102"/>
  <c r="O97" i="102"/>
  <c r="O96" i="102"/>
  <c r="O95" i="102"/>
  <c r="O94" i="102"/>
  <c r="O93" i="102"/>
  <c r="O92" i="102"/>
  <c r="O91" i="102"/>
  <c r="O90" i="102"/>
  <c r="O89" i="102"/>
  <c r="O88" i="102"/>
  <c r="O87" i="102"/>
  <c r="O86" i="102"/>
  <c r="O85" i="102"/>
  <c r="O84" i="102"/>
  <c r="O83" i="102"/>
  <c r="O82" i="102"/>
  <c r="O81" i="102"/>
  <c r="O80" i="102"/>
  <c r="O79" i="102"/>
  <c r="O78" i="102"/>
  <c r="O77" i="102"/>
  <c r="O76" i="102"/>
  <c r="O75" i="102"/>
  <c r="O74" i="102"/>
  <c r="O73" i="102"/>
  <c r="O72" i="102"/>
  <c r="O71" i="102"/>
  <c r="O70" i="102"/>
  <c r="O69" i="102"/>
  <c r="O68" i="102"/>
  <c r="O67" i="102"/>
  <c r="O66" i="102"/>
  <c r="O65" i="102"/>
  <c r="O64" i="102"/>
  <c r="O63" i="102"/>
  <c r="O62" i="102"/>
  <c r="O61" i="102"/>
  <c r="O60" i="102"/>
  <c r="O59" i="102"/>
  <c r="O58" i="102"/>
  <c r="O57" i="102"/>
  <c r="O56" i="102"/>
  <c r="O55" i="102"/>
  <c r="O54" i="102"/>
  <c r="O53" i="102"/>
  <c r="O52" i="102"/>
  <c r="O51" i="102"/>
  <c r="O50" i="102"/>
  <c r="O49" i="102"/>
  <c r="O48" i="102"/>
  <c r="O47" i="102"/>
  <c r="O46" i="102"/>
  <c r="O45" i="102"/>
  <c r="O44" i="102"/>
  <c r="O43" i="102"/>
  <c r="O42" i="102"/>
  <c r="O41" i="102"/>
  <c r="O40" i="102"/>
  <c r="O39" i="102"/>
  <c r="O38" i="102"/>
  <c r="O37" i="102"/>
  <c r="O36" i="102"/>
  <c r="O35" i="102"/>
  <c r="O34" i="102"/>
  <c r="O33" i="102"/>
  <c r="O32" i="102"/>
  <c r="O31" i="102"/>
  <c r="O30" i="102"/>
  <c r="E30" i="102"/>
  <c r="O29" i="102"/>
  <c r="O28" i="102"/>
  <c r="O27" i="102"/>
  <c r="F27" i="102"/>
  <c r="E27" i="102"/>
  <c r="O26" i="102"/>
  <c r="E26" i="102"/>
  <c r="F28" i="102" s="1"/>
  <c r="O25" i="102"/>
  <c r="F25" i="102"/>
  <c r="O24" i="102"/>
  <c r="O23" i="102"/>
  <c r="O22" i="102"/>
  <c r="O21" i="102"/>
  <c r="O20" i="102"/>
  <c r="O19" i="102"/>
  <c r="O18" i="102"/>
  <c r="O17" i="102"/>
  <c r="B17" i="102"/>
  <c r="O16" i="102"/>
  <c r="B16" i="102"/>
  <c r="B22" i="102" s="1"/>
  <c r="H58" i="102" s="1"/>
  <c r="O15" i="102"/>
  <c r="O14" i="102"/>
  <c r="O13" i="102"/>
  <c r="O12" i="102"/>
  <c r="B12" i="102"/>
  <c r="U11" i="102" s="1"/>
  <c r="V11" i="102" s="1"/>
  <c r="O11" i="102"/>
  <c r="B11" i="102"/>
  <c r="B37" i="102" s="1"/>
  <c r="O10" i="102"/>
  <c r="B10" i="102"/>
  <c r="O9" i="102"/>
  <c r="B9" i="102"/>
  <c r="O8" i="102"/>
  <c r="O7" i="102"/>
  <c r="O6" i="102"/>
  <c r="O5" i="102"/>
  <c r="O4" i="102"/>
  <c r="B4" i="102"/>
  <c r="O3" i="102"/>
  <c r="B3" i="102"/>
  <c r="O252" i="101"/>
  <c r="O251" i="101"/>
  <c r="O250" i="101"/>
  <c r="O249" i="101"/>
  <c r="O248" i="101"/>
  <c r="O247" i="101"/>
  <c r="O246" i="101"/>
  <c r="O245" i="101"/>
  <c r="O244" i="101"/>
  <c r="O243" i="101"/>
  <c r="O242" i="101"/>
  <c r="O241" i="101"/>
  <c r="O240" i="101"/>
  <c r="O239" i="101"/>
  <c r="O238" i="101"/>
  <c r="O237" i="101"/>
  <c r="O236" i="101"/>
  <c r="O235" i="101"/>
  <c r="O234" i="101"/>
  <c r="O233" i="101"/>
  <c r="O232" i="101"/>
  <c r="O231" i="101"/>
  <c r="O230" i="101"/>
  <c r="O229" i="101"/>
  <c r="O228" i="101"/>
  <c r="O227" i="101"/>
  <c r="O226" i="101"/>
  <c r="O225" i="101"/>
  <c r="O224" i="101"/>
  <c r="O223" i="101"/>
  <c r="O222" i="101"/>
  <c r="O221" i="101"/>
  <c r="O220" i="101"/>
  <c r="O219" i="101"/>
  <c r="O218" i="101"/>
  <c r="O217" i="101"/>
  <c r="O216" i="101"/>
  <c r="O215" i="101"/>
  <c r="O214" i="101"/>
  <c r="O213" i="101"/>
  <c r="O212" i="101"/>
  <c r="O211" i="101"/>
  <c r="O210" i="101"/>
  <c r="O209" i="101"/>
  <c r="O208" i="101"/>
  <c r="O207" i="101"/>
  <c r="O206" i="101"/>
  <c r="O205" i="101"/>
  <c r="O204" i="101"/>
  <c r="O203" i="101"/>
  <c r="O202" i="101"/>
  <c r="O201" i="101"/>
  <c r="O200" i="101"/>
  <c r="O199" i="101"/>
  <c r="O198" i="101"/>
  <c r="O197" i="101"/>
  <c r="O196" i="101"/>
  <c r="O195" i="101"/>
  <c r="O194" i="101"/>
  <c r="O193" i="101"/>
  <c r="O192" i="101"/>
  <c r="O191" i="101"/>
  <c r="O190" i="101"/>
  <c r="O189" i="101"/>
  <c r="O188" i="101"/>
  <c r="O187" i="101"/>
  <c r="O186" i="101"/>
  <c r="O185" i="101"/>
  <c r="O184" i="101"/>
  <c r="O183" i="101"/>
  <c r="O182" i="101"/>
  <c r="O181" i="101"/>
  <c r="O180" i="101"/>
  <c r="O179" i="101"/>
  <c r="O178" i="101"/>
  <c r="O177" i="101"/>
  <c r="O176" i="101"/>
  <c r="O175" i="101"/>
  <c r="O174" i="101"/>
  <c r="O173" i="101"/>
  <c r="O172" i="101"/>
  <c r="O171" i="101"/>
  <c r="O170" i="101"/>
  <c r="O169" i="101"/>
  <c r="O168" i="101"/>
  <c r="O167" i="101"/>
  <c r="O166" i="101"/>
  <c r="O165" i="101"/>
  <c r="O164" i="101"/>
  <c r="O163" i="101"/>
  <c r="O162" i="101"/>
  <c r="O161" i="101"/>
  <c r="O160" i="101"/>
  <c r="O159" i="101"/>
  <c r="O158" i="101"/>
  <c r="O157" i="101"/>
  <c r="O156" i="101"/>
  <c r="O155" i="101"/>
  <c r="O154" i="101"/>
  <c r="O153" i="101"/>
  <c r="O152" i="101"/>
  <c r="O151" i="101"/>
  <c r="O150" i="101"/>
  <c r="O149" i="101"/>
  <c r="O148" i="101"/>
  <c r="O147" i="101"/>
  <c r="O146" i="101"/>
  <c r="O145" i="101"/>
  <c r="O144" i="101"/>
  <c r="O143" i="101"/>
  <c r="O142" i="101"/>
  <c r="O141" i="101"/>
  <c r="O140" i="101"/>
  <c r="O139" i="101"/>
  <c r="O138" i="101"/>
  <c r="O137" i="101"/>
  <c r="O136" i="101"/>
  <c r="O135" i="101"/>
  <c r="O134" i="101"/>
  <c r="O133" i="101"/>
  <c r="O132" i="101"/>
  <c r="O131" i="101"/>
  <c r="O130" i="101"/>
  <c r="O129" i="101"/>
  <c r="O128" i="101"/>
  <c r="O127" i="101"/>
  <c r="O126" i="101"/>
  <c r="O125" i="101"/>
  <c r="O124" i="101"/>
  <c r="O123" i="101"/>
  <c r="G123" i="101"/>
  <c r="O122" i="101"/>
  <c r="G122" i="101"/>
  <c r="O121" i="101"/>
  <c r="O120" i="101"/>
  <c r="G120" i="101"/>
  <c r="O119" i="101"/>
  <c r="G119" i="101"/>
  <c r="O118" i="101"/>
  <c r="G118" i="101"/>
  <c r="O117" i="101"/>
  <c r="O116" i="101"/>
  <c r="O115" i="101"/>
  <c r="O114" i="101"/>
  <c r="O113" i="101"/>
  <c r="O112" i="101"/>
  <c r="O111" i="101"/>
  <c r="O110" i="101"/>
  <c r="O109" i="101"/>
  <c r="O108" i="101"/>
  <c r="O107" i="101"/>
  <c r="O106" i="101"/>
  <c r="O105" i="101"/>
  <c r="O104" i="101"/>
  <c r="O103" i="101"/>
  <c r="O102" i="101"/>
  <c r="O101" i="101"/>
  <c r="O100" i="101"/>
  <c r="O99" i="101"/>
  <c r="O98" i="101"/>
  <c r="O97" i="101"/>
  <c r="O96" i="101"/>
  <c r="O95" i="101"/>
  <c r="O94" i="101"/>
  <c r="O93" i="101"/>
  <c r="O92" i="101"/>
  <c r="O91" i="101"/>
  <c r="O90" i="101"/>
  <c r="O89" i="101"/>
  <c r="O88" i="101"/>
  <c r="O87" i="101"/>
  <c r="O86" i="101"/>
  <c r="O85" i="101"/>
  <c r="O84" i="101"/>
  <c r="O83" i="101"/>
  <c r="O82" i="101"/>
  <c r="O81" i="101"/>
  <c r="O80" i="101"/>
  <c r="O79" i="101"/>
  <c r="O78" i="101"/>
  <c r="O77" i="101"/>
  <c r="O76" i="101"/>
  <c r="O75" i="101"/>
  <c r="O74" i="101"/>
  <c r="O73" i="101"/>
  <c r="O72" i="101"/>
  <c r="O71" i="101"/>
  <c r="O70" i="101"/>
  <c r="O69" i="101"/>
  <c r="O68" i="101"/>
  <c r="O67" i="101"/>
  <c r="O66" i="101"/>
  <c r="O65" i="101"/>
  <c r="O64" i="101"/>
  <c r="O63" i="101"/>
  <c r="O62" i="101"/>
  <c r="O61" i="101"/>
  <c r="O60" i="101"/>
  <c r="O59" i="101"/>
  <c r="O58" i="101"/>
  <c r="O57" i="101"/>
  <c r="O56" i="101"/>
  <c r="O55" i="101"/>
  <c r="O54" i="101"/>
  <c r="O53" i="101"/>
  <c r="O52" i="101"/>
  <c r="O51" i="101"/>
  <c r="O50" i="101"/>
  <c r="O49" i="101"/>
  <c r="O48" i="101"/>
  <c r="O47" i="101"/>
  <c r="O46" i="101"/>
  <c r="O45" i="101"/>
  <c r="O44" i="101"/>
  <c r="O43" i="101"/>
  <c r="O42" i="101"/>
  <c r="O41" i="101"/>
  <c r="O40" i="101"/>
  <c r="O39" i="101"/>
  <c r="O38" i="101"/>
  <c r="O37" i="101"/>
  <c r="O36" i="101"/>
  <c r="O35" i="101"/>
  <c r="O34" i="101"/>
  <c r="O33" i="101"/>
  <c r="O32" i="101"/>
  <c r="O31" i="101"/>
  <c r="O30" i="101"/>
  <c r="O29" i="101"/>
  <c r="O28" i="101"/>
  <c r="O27" i="101"/>
  <c r="E27" i="101"/>
  <c r="O26" i="101"/>
  <c r="E26" i="101"/>
  <c r="F28" i="101" s="1"/>
  <c r="O25" i="101"/>
  <c r="F25" i="101"/>
  <c r="O24" i="101"/>
  <c r="O23" i="101"/>
  <c r="O22" i="101"/>
  <c r="O21" i="101"/>
  <c r="O20" i="101"/>
  <c r="O19" i="101"/>
  <c r="O18" i="101"/>
  <c r="O17" i="101"/>
  <c r="B17" i="101"/>
  <c r="O16" i="101"/>
  <c r="B16" i="101"/>
  <c r="O15" i="101"/>
  <c r="O14" i="101"/>
  <c r="O13" i="101"/>
  <c r="O12" i="101"/>
  <c r="B12" i="101"/>
  <c r="U11" i="101" s="1"/>
  <c r="V11" i="101" s="1"/>
  <c r="O11" i="101"/>
  <c r="B11" i="101"/>
  <c r="O10" i="101"/>
  <c r="B10" i="101"/>
  <c r="O9" i="101"/>
  <c r="B9" i="101"/>
  <c r="O8" i="101"/>
  <c r="O7" i="101"/>
  <c r="O6" i="101"/>
  <c r="O5" i="101"/>
  <c r="O4" i="101"/>
  <c r="B4" i="101"/>
  <c r="O3" i="101"/>
  <c r="B3" i="101"/>
  <c r="O252" i="100"/>
  <c r="O251" i="100"/>
  <c r="O250" i="100"/>
  <c r="O249" i="100"/>
  <c r="O248" i="100"/>
  <c r="O247" i="100"/>
  <c r="O246" i="100"/>
  <c r="O245" i="100"/>
  <c r="O244" i="100"/>
  <c r="O243" i="100"/>
  <c r="O242" i="100"/>
  <c r="O241" i="100"/>
  <c r="O240" i="100"/>
  <c r="O239" i="100"/>
  <c r="O238" i="100"/>
  <c r="O237" i="100"/>
  <c r="O236" i="100"/>
  <c r="O235" i="100"/>
  <c r="O234" i="100"/>
  <c r="O233" i="100"/>
  <c r="O232" i="100"/>
  <c r="O231" i="100"/>
  <c r="O230" i="100"/>
  <c r="O229" i="100"/>
  <c r="O228" i="100"/>
  <c r="O227" i="100"/>
  <c r="O226" i="100"/>
  <c r="O225" i="100"/>
  <c r="O224" i="100"/>
  <c r="O223" i="100"/>
  <c r="O222" i="100"/>
  <c r="O221" i="100"/>
  <c r="O220" i="100"/>
  <c r="O219" i="100"/>
  <c r="O218" i="100"/>
  <c r="O217" i="100"/>
  <c r="O216" i="100"/>
  <c r="O215" i="100"/>
  <c r="O214" i="100"/>
  <c r="O213" i="100"/>
  <c r="O212" i="100"/>
  <c r="O211" i="100"/>
  <c r="O210" i="100"/>
  <c r="O209" i="100"/>
  <c r="O208" i="100"/>
  <c r="O207" i="100"/>
  <c r="O206" i="100"/>
  <c r="O205" i="100"/>
  <c r="O204" i="100"/>
  <c r="O203" i="100"/>
  <c r="O202" i="100"/>
  <c r="O201" i="100"/>
  <c r="O200" i="100"/>
  <c r="O199" i="100"/>
  <c r="O198" i="100"/>
  <c r="O197" i="100"/>
  <c r="O196" i="100"/>
  <c r="O195" i="100"/>
  <c r="O194" i="100"/>
  <c r="O193" i="100"/>
  <c r="O192" i="100"/>
  <c r="O191" i="100"/>
  <c r="O190" i="100"/>
  <c r="O189" i="100"/>
  <c r="O188" i="100"/>
  <c r="O187" i="100"/>
  <c r="O186" i="100"/>
  <c r="O185" i="100"/>
  <c r="O184" i="100"/>
  <c r="O183" i="100"/>
  <c r="O182" i="100"/>
  <c r="O181" i="100"/>
  <c r="O180" i="100"/>
  <c r="O179" i="100"/>
  <c r="O178" i="100"/>
  <c r="O177" i="100"/>
  <c r="O176" i="100"/>
  <c r="O175" i="100"/>
  <c r="O174" i="100"/>
  <c r="O173" i="100"/>
  <c r="O172" i="100"/>
  <c r="O171" i="100"/>
  <c r="O170" i="100"/>
  <c r="O169" i="100"/>
  <c r="O168" i="100"/>
  <c r="O167" i="100"/>
  <c r="O166" i="100"/>
  <c r="O165" i="100"/>
  <c r="O164" i="100"/>
  <c r="O163" i="100"/>
  <c r="O162" i="100"/>
  <c r="O161" i="100"/>
  <c r="O160" i="100"/>
  <c r="O159" i="100"/>
  <c r="O158" i="100"/>
  <c r="O157" i="100"/>
  <c r="O156" i="100"/>
  <c r="O155" i="100"/>
  <c r="O154" i="100"/>
  <c r="O153" i="100"/>
  <c r="O152" i="100"/>
  <c r="O151" i="100"/>
  <c r="O150" i="100"/>
  <c r="O149" i="100"/>
  <c r="O148" i="100"/>
  <c r="O147" i="100"/>
  <c r="O146" i="100"/>
  <c r="O145" i="100"/>
  <c r="O144" i="100"/>
  <c r="O143" i="100"/>
  <c r="O142" i="100"/>
  <c r="O141" i="100"/>
  <c r="O140" i="100"/>
  <c r="O139" i="100"/>
  <c r="O138" i="100"/>
  <c r="O137" i="100"/>
  <c r="O136" i="100"/>
  <c r="O135" i="100"/>
  <c r="O134" i="100"/>
  <c r="O133" i="100"/>
  <c r="O132" i="100"/>
  <c r="O131" i="100"/>
  <c r="O130" i="100"/>
  <c r="O129" i="100"/>
  <c r="O128" i="100"/>
  <c r="O127" i="100"/>
  <c r="O126" i="100"/>
  <c r="O125" i="100"/>
  <c r="O124" i="100"/>
  <c r="O123" i="100"/>
  <c r="G123" i="100"/>
  <c r="O122" i="100"/>
  <c r="G122" i="100"/>
  <c r="O121" i="100"/>
  <c r="O120" i="100"/>
  <c r="G120" i="100"/>
  <c r="O119" i="100"/>
  <c r="G119" i="100"/>
  <c r="O118" i="100"/>
  <c r="G118" i="100"/>
  <c r="O117" i="100"/>
  <c r="O116" i="100"/>
  <c r="O115" i="100"/>
  <c r="O114" i="100"/>
  <c r="O113" i="100"/>
  <c r="O112" i="100"/>
  <c r="O111" i="100"/>
  <c r="O110" i="100"/>
  <c r="O109" i="100"/>
  <c r="O108" i="100"/>
  <c r="O107" i="100"/>
  <c r="O106" i="100"/>
  <c r="O105" i="100"/>
  <c r="O104" i="100"/>
  <c r="O103" i="100"/>
  <c r="O102" i="100"/>
  <c r="O101" i="100"/>
  <c r="O100" i="100"/>
  <c r="O99" i="100"/>
  <c r="O98" i="100"/>
  <c r="O97" i="100"/>
  <c r="O96" i="100"/>
  <c r="O95" i="100"/>
  <c r="O94" i="100"/>
  <c r="O93" i="100"/>
  <c r="O92" i="100"/>
  <c r="O91" i="100"/>
  <c r="O90" i="100"/>
  <c r="O89" i="100"/>
  <c r="O88" i="100"/>
  <c r="O87" i="100"/>
  <c r="O86" i="100"/>
  <c r="O85" i="100"/>
  <c r="O84" i="100"/>
  <c r="O83" i="100"/>
  <c r="O82" i="100"/>
  <c r="O81" i="100"/>
  <c r="O80" i="100"/>
  <c r="O79" i="100"/>
  <c r="O78" i="100"/>
  <c r="O77" i="100"/>
  <c r="O76" i="100"/>
  <c r="O75" i="100"/>
  <c r="O74" i="100"/>
  <c r="O73" i="100"/>
  <c r="O72" i="100"/>
  <c r="O71" i="100"/>
  <c r="O70" i="100"/>
  <c r="O69" i="100"/>
  <c r="O68" i="100"/>
  <c r="O67" i="100"/>
  <c r="O66" i="100"/>
  <c r="O65" i="100"/>
  <c r="O64" i="100"/>
  <c r="O63" i="100"/>
  <c r="O62" i="100"/>
  <c r="O61" i="100"/>
  <c r="O60" i="100"/>
  <c r="O59" i="100"/>
  <c r="O58" i="100"/>
  <c r="O57" i="100"/>
  <c r="O56" i="100"/>
  <c r="O55" i="100"/>
  <c r="O54" i="100"/>
  <c r="O53" i="100"/>
  <c r="O52" i="100"/>
  <c r="O51" i="100"/>
  <c r="O5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E27" i="100"/>
  <c r="O26" i="100"/>
  <c r="E26" i="100"/>
  <c r="O25" i="100"/>
  <c r="F25" i="100"/>
  <c r="O24" i="100"/>
  <c r="O23" i="100"/>
  <c r="O22" i="100"/>
  <c r="O21" i="100"/>
  <c r="O20" i="100"/>
  <c r="O19" i="100"/>
  <c r="O18" i="100"/>
  <c r="O17" i="100"/>
  <c r="B17" i="100"/>
  <c r="O16" i="100"/>
  <c r="B16" i="100"/>
  <c r="O15" i="100"/>
  <c r="O14" i="100"/>
  <c r="O13" i="100"/>
  <c r="O12" i="100"/>
  <c r="B12" i="100"/>
  <c r="U11" i="100" s="1"/>
  <c r="V11" i="100" s="1"/>
  <c r="O11" i="100"/>
  <c r="B11" i="100"/>
  <c r="B37" i="100" s="1"/>
  <c r="O10" i="100"/>
  <c r="B10" i="100"/>
  <c r="O9" i="100"/>
  <c r="B9" i="100"/>
  <c r="O8" i="100"/>
  <c r="O7" i="100"/>
  <c r="O6" i="100"/>
  <c r="O5" i="100"/>
  <c r="O4" i="100"/>
  <c r="B4" i="100"/>
  <c r="O3" i="100"/>
  <c r="B3" i="100"/>
  <c r="O252" i="99"/>
  <c r="O251" i="99"/>
  <c r="O250" i="99"/>
  <c r="O249" i="99"/>
  <c r="O248" i="99"/>
  <c r="O247" i="99"/>
  <c r="O246" i="99"/>
  <c r="O245" i="99"/>
  <c r="O244" i="99"/>
  <c r="O243" i="99"/>
  <c r="O242" i="99"/>
  <c r="O241" i="99"/>
  <c r="O240" i="99"/>
  <c r="O239" i="99"/>
  <c r="O238" i="99"/>
  <c r="O237" i="99"/>
  <c r="O236" i="99"/>
  <c r="O235" i="99"/>
  <c r="O234" i="99"/>
  <c r="O233" i="99"/>
  <c r="O232" i="99"/>
  <c r="O231" i="99"/>
  <c r="O230" i="99"/>
  <c r="O229" i="99"/>
  <c r="O228" i="99"/>
  <c r="O227" i="99"/>
  <c r="O226" i="99"/>
  <c r="O225" i="99"/>
  <c r="O224" i="99"/>
  <c r="O223" i="99"/>
  <c r="O222" i="99"/>
  <c r="O221" i="99"/>
  <c r="O220" i="99"/>
  <c r="O219" i="99"/>
  <c r="O218" i="99"/>
  <c r="O217" i="99"/>
  <c r="O216" i="99"/>
  <c r="O215" i="99"/>
  <c r="O214" i="99"/>
  <c r="O213" i="99"/>
  <c r="O212" i="99"/>
  <c r="O211" i="99"/>
  <c r="O210" i="99"/>
  <c r="O209" i="99"/>
  <c r="O208" i="99"/>
  <c r="O207" i="99"/>
  <c r="O206" i="99"/>
  <c r="O205" i="99"/>
  <c r="O204" i="99"/>
  <c r="O203" i="99"/>
  <c r="O202" i="99"/>
  <c r="O201" i="99"/>
  <c r="O200" i="99"/>
  <c r="O199" i="99"/>
  <c r="O198" i="99"/>
  <c r="O197" i="99"/>
  <c r="O196" i="99"/>
  <c r="O195" i="99"/>
  <c r="O194" i="99"/>
  <c r="O193" i="99"/>
  <c r="O192" i="99"/>
  <c r="O191" i="99"/>
  <c r="O190" i="99"/>
  <c r="O189" i="99"/>
  <c r="O188" i="99"/>
  <c r="O187" i="99"/>
  <c r="O186" i="99"/>
  <c r="O185" i="99"/>
  <c r="O184" i="99"/>
  <c r="O183" i="99"/>
  <c r="O182" i="99"/>
  <c r="O181" i="99"/>
  <c r="O180" i="99"/>
  <c r="O179" i="99"/>
  <c r="O178" i="99"/>
  <c r="O177" i="99"/>
  <c r="O176" i="99"/>
  <c r="O175" i="99"/>
  <c r="O174" i="99"/>
  <c r="O173" i="99"/>
  <c r="O172" i="99"/>
  <c r="O171" i="99"/>
  <c r="O170" i="99"/>
  <c r="O169" i="99"/>
  <c r="O168" i="99"/>
  <c r="O167" i="99"/>
  <c r="O166" i="99"/>
  <c r="O165" i="99"/>
  <c r="O164" i="99"/>
  <c r="O163" i="99"/>
  <c r="O162" i="99"/>
  <c r="O161" i="99"/>
  <c r="O160" i="99"/>
  <c r="O159" i="99"/>
  <c r="O158" i="99"/>
  <c r="O157" i="99"/>
  <c r="O156" i="99"/>
  <c r="O155" i="99"/>
  <c r="O154" i="99"/>
  <c r="O153" i="99"/>
  <c r="O152" i="99"/>
  <c r="O151" i="99"/>
  <c r="O150" i="99"/>
  <c r="O149" i="99"/>
  <c r="O148" i="99"/>
  <c r="O147" i="99"/>
  <c r="O146" i="99"/>
  <c r="O145" i="99"/>
  <c r="O144" i="99"/>
  <c r="O143" i="99"/>
  <c r="O142" i="99"/>
  <c r="O141" i="99"/>
  <c r="O140" i="99"/>
  <c r="O139" i="99"/>
  <c r="O138" i="99"/>
  <c r="O137" i="99"/>
  <c r="O136" i="99"/>
  <c r="O135" i="99"/>
  <c r="O134" i="99"/>
  <c r="O133" i="99"/>
  <c r="O132" i="99"/>
  <c r="O131" i="99"/>
  <c r="O130" i="99"/>
  <c r="O129" i="99"/>
  <c r="O128" i="99"/>
  <c r="O127" i="99"/>
  <c r="O126" i="99"/>
  <c r="O125" i="99"/>
  <c r="O124" i="99"/>
  <c r="O123" i="99"/>
  <c r="G123" i="99"/>
  <c r="O122" i="99"/>
  <c r="G122" i="99"/>
  <c r="O121" i="99"/>
  <c r="O120" i="99"/>
  <c r="G120" i="99"/>
  <c r="O119" i="99"/>
  <c r="G119" i="99"/>
  <c r="O118" i="99"/>
  <c r="G118" i="99"/>
  <c r="O117" i="99"/>
  <c r="O116" i="99"/>
  <c r="O115" i="99"/>
  <c r="O114" i="99"/>
  <c r="O113" i="99"/>
  <c r="O112" i="99"/>
  <c r="O111" i="99"/>
  <c r="O110" i="99"/>
  <c r="O109" i="99"/>
  <c r="O108" i="99"/>
  <c r="O107" i="99"/>
  <c r="O106" i="99"/>
  <c r="O105" i="99"/>
  <c r="O104" i="99"/>
  <c r="O103" i="99"/>
  <c r="O102" i="99"/>
  <c r="O101" i="99"/>
  <c r="O100" i="99"/>
  <c r="O99" i="99"/>
  <c r="O98" i="99"/>
  <c r="O97" i="99"/>
  <c r="O96" i="99"/>
  <c r="O95" i="99"/>
  <c r="O94" i="99"/>
  <c r="O93" i="99"/>
  <c r="O92" i="99"/>
  <c r="O91" i="99"/>
  <c r="O90" i="99"/>
  <c r="O89" i="99"/>
  <c r="O88" i="99"/>
  <c r="O87" i="99"/>
  <c r="O86" i="99"/>
  <c r="O85" i="99"/>
  <c r="O84" i="99"/>
  <c r="O83" i="99"/>
  <c r="O82" i="99"/>
  <c r="O81" i="99"/>
  <c r="O80" i="99"/>
  <c r="O79" i="99"/>
  <c r="O78" i="99"/>
  <c r="O77" i="99"/>
  <c r="O76" i="99"/>
  <c r="O75" i="99"/>
  <c r="O74" i="99"/>
  <c r="O73" i="99"/>
  <c r="O72" i="99"/>
  <c r="O71" i="99"/>
  <c r="O70" i="99"/>
  <c r="O69" i="99"/>
  <c r="O68" i="99"/>
  <c r="O67" i="99"/>
  <c r="O66" i="99"/>
  <c r="O65" i="99"/>
  <c r="O64" i="99"/>
  <c r="O63" i="99"/>
  <c r="O62" i="99"/>
  <c r="O61" i="99"/>
  <c r="O60" i="99"/>
  <c r="O59" i="99"/>
  <c r="O58" i="99"/>
  <c r="O57" i="99"/>
  <c r="O56" i="99"/>
  <c r="O55" i="99"/>
  <c r="O54" i="99"/>
  <c r="O53" i="99"/>
  <c r="O52" i="99"/>
  <c r="O51" i="99"/>
  <c r="O50" i="99"/>
  <c r="O49" i="99"/>
  <c r="O48" i="99"/>
  <c r="O47" i="99"/>
  <c r="O46" i="99"/>
  <c r="O45" i="99"/>
  <c r="O44" i="99"/>
  <c r="O43" i="99"/>
  <c r="O42" i="99"/>
  <c r="O41" i="99"/>
  <c r="O40" i="99"/>
  <c r="O39" i="99"/>
  <c r="O38" i="99"/>
  <c r="O37" i="99"/>
  <c r="O36" i="99"/>
  <c r="O35" i="99"/>
  <c r="O34" i="99"/>
  <c r="O33" i="99"/>
  <c r="O32" i="99"/>
  <c r="O31" i="99"/>
  <c r="O30" i="99"/>
  <c r="O29" i="99"/>
  <c r="O28" i="99"/>
  <c r="O27" i="99"/>
  <c r="E27" i="99"/>
  <c r="E30" i="99" s="1"/>
  <c r="O26" i="99"/>
  <c r="E26" i="99"/>
  <c r="O25" i="99"/>
  <c r="F25" i="99"/>
  <c r="O24" i="99"/>
  <c r="O23" i="99"/>
  <c r="O22" i="99"/>
  <c r="O21" i="99"/>
  <c r="O20" i="99"/>
  <c r="O19" i="99"/>
  <c r="O18" i="99"/>
  <c r="O17" i="99"/>
  <c r="B17" i="99"/>
  <c r="O16" i="99"/>
  <c r="B16" i="99"/>
  <c r="O15" i="99"/>
  <c r="O14" i="99"/>
  <c r="O13" i="99"/>
  <c r="O12" i="99"/>
  <c r="B12" i="99"/>
  <c r="U11" i="99" s="1"/>
  <c r="V11" i="99" s="1"/>
  <c r="O11" i="99"/>
  <c r="B11" i="99"/>
  <c r="B37" i="99" s="1"/>
  <c r="O10" i="99"/>
  <c r="B10" i="99"/>
  <c r="O9" i="99"/>
  <c r="B9" i="99"/>
  <c r="O8" i="99"/>
  <c r="O7" i="99"/>
  <c r="O6" i="99"/>
  <c r="O5" i="99"/>
  <c r="O4" i="99"/>
  <c r="B4" i="99"/>
  <c r="O3" i="99"/>
  <c r="B3" i="99"/>
  <c r="O252" i="98"/>
  <c r="O251" i="98"/>
  <c r="O250" i="98"/>
  <c r="O249" i="98"/>
  <c r="O248" i="98"/>
  <c r="O247" i="98"/>
  <c r="O246" i="98"/>
  <c r="O245" i="98"/>
  <c r="O244" i="98"/>
  <c r="O243" i="98"/>
  <c r="O242" i="98"/>
  <c r="O241" i="98"/>
  <c r="O240" i="98"/>
  <c r="O239" i="98"/>
  <c r="O238" i="98"/>
  <c r="O237" i="98"/>
  <c r="O236" i="98"/>
  <c r="O235" i="98"/>
  <c r="O234" i="98"/>
  <c r="O233" i="98"/>
  <c r="O232" i="98"/>
  <c r="O231" i="98"/>
  <c r="O230" i="98"/>
  <c r="O229" i="98"/>
  <c r="O228" i="98"/>
  <c r="O227" i="98"/>
  <c r="O226" i="98"/>
  <c r="O225" i="98"/>
  <c r="O224" i="98"/>
  <c r="O223" i="98"/>
  <c r="O222" i="98"/>
  <c r="O221" i="98"/>
  <c r="O220" i="98"/>
  <c r="O219" i="98"/>
  <c r="O218" i="98"/>
  <c r="O217" i="98"/>
  <c r="O216" i="98"/>
  <c r="O215" i="98"/>
  <c r="O214" i="98"/>
  <c r="O213" i="98"/>
  <c r="O212" i="98"/>
  <c r="O211" i="98"/>
  <c r="O210" i="98"/>
  <c r="O209" i="98"/>
  <c r="O208" i="98"/>
  <c r="O207" i="98"/>
  <c r="O206" i="98"/>
  <c r="O205" i="98"/>
  <c r="O204" i="98"/>
  <c r="O203" i="98"/>
  <c r="O202" i="98"/>
  <c r="O201" i="98"/>
  <c r="O200" i="98"/>
  <c r="O199" i="98"/>
  <c r="O198" i="98"/>
  <c r="O197" i="98"/>
  <c r="O196" i="98"/>
  <c r="O195" i="98"/>
  <c r="O194" i="98"/>
  <c r="O193" i="98"/>
  <c r="O192" i="98"/>
  <c r="O191" i="98"/>
  <c r="O190" i="98"/>
  <c r="O189" i="98"/>
  <c r="O188" i="98"/>
  <c r="O187" i="98"/>
  <c r="O186" i="98"/>
  <c r="O185" i="98"/>
  <c r="O184" i="98"/>
  <c r="O183" i="98"/>
  <c r="O182" i="98"/>
  <c r="O181" i="98"/>
  <c r="O180" i="98"/>
  <c r="O179" i="98"/>
  <c r="O178" i="98"/>
  <c r="O177" i="98"/>
  <c r="O176" i="98"/>
  <c r="O175" i="98"/>
  <c r="O174" i="98"/>
  <c r="O173" i="98"/>
  <c r="O172" i="98"/>
  <c r="O171" i="98"/>
  <c r="O170" i="98"/>
  <c r="O169" i="98"/>
  <c r="O168" i="98"/>
  <c r="O167" i="98"/>
  <c r="O166" i="98"/>
  <c r="O165" i="98"/>
  <c r="O164" i="98"/>
  <c r="O163" i="98"/>
  <c r="O162" i="98"/>
  <c r="O161" i="98"/>
  <c r="O160" i="98"/>
  <c r="O159" i="98"/>
  <c r="O158" i="98"/>
  <c r="O157" i="98"/>
  <c r="O156" i="98"/>
  <c r="O155" i="98"/>
  <c r="O154" i="98"/>
  <c r="O153" i="98"/>
  <c r="O152" i="98"/>
  <c r="O151" i="98"/>
  <c r="O150" i="98"/>
  <c r="O149" i="98"/>
  <c r="O148" i="98"/>
  <c r="O147" i="98"/>
  <c r="O146" i="98"/>
  <c r="O145" i="98"/>
  <c r="O144" i="98"/>
  <c r="O143" i="98"/>
  <c r="O142" i="98"/>
  <c r="O141" i="98"/>
  <c r="O140" i="98"/>
  <c r="O139" i="98"/>
  <c r="O138" i="98"/>
  <c r="O137" i="98"/>
  <c r="O136" i="98"/>
  <c r="O135" i="98"/>
  <c r="O134" i="98"/>
  <c r="O133" i="98"/>
  <c r="O132" i="98"/>
  <c r="O131" i="98"/>
  <c r="O130" i="98"/>
  <c r="O129" i="98"/>
  <c r="O128" i="98"/>
  <c r="O127" i="98"/>
  <c r="O126" i="98"/>
  <c r="O125" i="98"/>
  <c r="O124" i="98"/>
  <c r="O123" i="98"/>
  <c r="G123" i="98"/>
  <c r="O122" i="98"/>
  <c r="G122" i="98"/>
  <c r="O121" i="98"/>
  <c r="O120" i="98"/>
  <c r="G120" i="98"/>
  <c r="O119" i="98"/>
  <c r="G119" i="98"/>
  <c r="O118" i="98"/>
  <c r="G118" i="98"/>
  <c r="O117" i="98"/>
  <c r="O116" i="98"/>
  <c r="O115" i="98"/>
  <c r="O114" i="98"/>
  <c r="O113" i="98"/>
  <c r="O112" i="98"/>
  <c r="O111" i="98"/>
  <c r="O110" i="98"/>
  <c r="O109" i="98"/>
  <c r="O108" i="98"/>
  <c r="O107" i="98"/>
  <c r="O106" i="98"/>
  <c r="O105" i="98"/>
  <c r="O104" i="98"/>
  <c r="O103" i="98"/>
  <c r="O102" i="98"/>
  <c r="O101" i="98"/>
  <c r="O100" i="98"/>
  <c r="O99" i="98"/>
  <c r="O98" i="98"/>
  <c r="O97" i="98"/>
  <c r="O96" i="98"/>
  <c r="O95" i="98"/>
  <c r="O94" i="98"/>
  <c r="O93" i="98"/>
  <c r="O92" i="98"/>
  <c r="O91" i="98"/>
  <c r="O90" i="98"/>
  <c r="O89" i="98"/>
  <c r="O88" i="98"/>
  <c r="O87" i="98"/>
  <c r="O86" i="98"/>
  <c r="O85" i="98"/>
  <c r="O84" i="98"/>
  <c r="O83" i="98"/>
  <c r="O82" i="98"/>
  <c r="O81" i="98"/>
  <c r="O80" i="98"/>
  <c r="O79" i="98"/>
  <c r="O78" i="98"/>
  <c r="O77" i="98"/>
  <c r="O76" i="98"/>
  <c r="O75" i="98"/>
  <c r="O74" i="98"/>
  <c r="O73" i="98"/>
  <c r="O72" i="98"/>
  <c r="O71" i="98"/>
  <c r="O70" i="98"/>
  <c r="O69" i="98"/>
  <c r="O68" i="98"/>
  <c r="O67" i="98"/>
  <c r="O66" i="98"/>
  <c r="O65" i="98"/>
  <c r="O64" i="98"/>
  <c r="O63" i="98"/>
  <c r="O62" i="98"/>
  <c r="O61" i="98"/>
  <c r="O60" i="98"/>
  <c r="O59" i="98"/>
  <c r="O58" i="98"/>
  <c r="O57" i="98"/>
  <c r="O56" i="98"/>
  <c r="O55" i="98"/>
  <c r="O54" i="98"/>
  <c r="O53" i="98"/>
  <c r="O52" i="98"/>
  <c r="O51" i="98"/>
  <c r="O50" i="98"/>
  <c r="O49" i="98"/>
  <c r="O48" i="98"/>
  <c r="O47" i="98"/>
  <c r="O46" i="98"/>
  <c r="O45" i="98"/>
  <c r="O44" i="98"/>
  <c r="O43" i="98"/>
  <c r="O42" i="98"/>
  <c r="O41" i="98"/>
  <c r="O40" i="98"/>
  <c r="O39" i="98"/>
  <c r="O38" i="98"/>
  <c r="O37" i="98"/>
  <c r="O36" i="98"/>
  <c r="O35" i="98"/>
  <c r="O34" i="98"/>
  <c r="O33" i="98"/>
  <c r="O32" i="98"/>
  <c r="O31" i="98"/>
  <c r="O30" i="98"/>
  <c r="O29" i="98"/>
  <c r="O28" i="98"/>
  <c r="O27" i="98"/>
  <c r="E27" i="98"/>
  <c r="O26" i="98"/>
  <c r="E26" i="98"/>
  <c r="F28" i="98" s="1"/>
  <c r="O25" i="98"/>
  <c r="F25" i="98"/>
  <c r="O24" i="98"/>
  <c r="O23" i="98"/>
  <c r="O22" i="98"/>
  <c r="O21" i="98"/>
  <c r="O20" i="98"/>
  <c r="O19" i="98"/>
  <c r="O18" i="98"/>
  <c r="O17" i="98"/>
  <c r="B17" i="98"/>
  <c r="O16" i="98"/>
  <c r="B16" i="98"/>
  <c r="O15" i="98"/>
  <c r="O14" i="98"/>
  <c r="O13" i="98"/>
  <c r="O12" i="98"/>
  <c r="B12" i="98"/>
  <c r="U11" i="98" s="1"/>
  <c r="V11" i="98" s="1"/>
  <c r="O11" i="98"/>
  <c r="B11" i="98"/>
  <c r="O10" i="98"/>
  <c r="B10" i="98"/>
  <c r="O9" i="98"/>
  <c r="B9" i="98"/>
  <c r="O8" i="98"/>
  <c r="O7" i="98"/>
  <c r="O6" i="98"/>
  <c r="O5" i="98"/>
  <c r="O4" i="98"/>
  <c r="B4" i="98"/>
  <c r="O3" i="98"/>
  <c r="B3" i="98"/>
  <c r="O252" i="97"/>
  <c r="O251" i="97"/>
  <c r="O250" i="97"/>
  <c r="O249" i="97"/>
  <c r="O248" i="97"/>
  <c r="O247" i="97"/>
  <c r="O246" i="97"/>
  <c r="O245" i="97"/>
  <c r="O244" i="97"/>
  <c r="O243" i="97"/>
  <c r="O242" i="97"/>
  <c r="O241" i="97"/>
  <c r="O240" i="97"/>
  <c r="O239" i="97"/>
  <c r="O238" i="97"/>
  <c r="O237" i="97"/>
  <c r="O236" i="97"/>
  <c r="O235" i="97"/>
  <c r="O234" i="97"/>
  <c r="O233" i="97"/>
  <c r="O232" i="97"/>
  <c r="O231" i="97"/>
  <c r="O230" i="97"/>
  <c r="O229" i="97"/>
  <c r="O228" i="97"/>
  <c r="O227" i="97"/>
  <c r="O226" i="97"/>
  <c r="O225" i="97"/>
  <c r="O224" i="97"/>
  <c r="O223" i="97"/>
  <c r="O222" i="97"/>
  <c r="O221" i="97"/>
  <c r="O220" i="97"/>
  <c r="O219" i="97"/>
  <c r="O218" i="97"/>
  <c r="O217" i="97"/>
  <c r="O216" i="97"/>
  <c r="O215" i="97"/>
  <c r="O214" i="97"/>
  <c r="O213" i="97"/>
  <c r="O212" i="97"/>
  <c r="O211" i="97"/>
  <c r="O210" i="97"/>
  <c r="O209" i="97"/>
  <c r="O208" i="97"/>
  <c r="O207" i="97"/>
  <c r="O206" i="97"/>
  <c r="O205" i="97"/>
  <c r="O204" i="97"/>
  <c r="O203" i="97"/>
  <c r="O202" i="97"/>
  <c r="O201" i="97"/>
  <c r="O200" i="97"/>
  <c r="O199" i="97"/>
  <c r="O198" i="97"/>
  <c r="O197" i="97"/>
  <c r="O196" i="97"/>
  <c r="O195" i="97"/>
  <c r="O194" i="97"/>
  <c r="O193" i="97"/>
  <c r="O192" i="97"/>
  <c r="O191" i="97"/>
  <c r="O190" i="97"/>
  <c r="O189" i="97"/>
  <c r="O188" i="97"/>
  <c r="O187" i="97"/>
  <c r="O186" i="97"/>
  <c r="O185" i="97"/>
  <c r="O184" i="97"/>
  <c r="O183" i="97"/>
  <c r="O182" i="97"/>
  <c r="O181" i="97"/>
  <c r="O180" i="97"/>
  <c r="O179" i="97"/>
  <c r="O178" i="97"/>
  <c r="O177" i="97"/>
  <c r="O176" i="97"/>
  <c r="O175" i="97"/>
  <c r="O174" i="97"/>
  <c r="O173" i="97"/>
  <c r="O172" i="97"/>
  <c r="O171" i="97"/>
  <c r="O170" i="97"/>
  <c r="O169" i="97"/>
  <c r="O168" i="97"/>
  <c r="O167" i="97"/>
  <c r="O166" i="97"/>
  <c r="O165" i="97"/>
  <c r="O164" i="97"/>
  <c r="O163" i="97"/>
  <c r="O162" i="97"/>
  <c r="O161" i="97"/>
  <c r="O160" i="97"/>
  <c r="O159" i="97"/>
  <c r="O158" i="97"/>
  <c r="O157" i="97"/>
  <c r="O156" i="97"/>
  <c r="O155" i="97"/>
  <c r="O154" i="97"/>
  <c r="O153" i="97"/>
  <c r="O152" i="97"/>
  <c r="O151" i="97"/>
  <c r="O150" i="97"/>
  <c r="O149" i="97"/>
  <c r="O148" i="97"/>
  <c r="O147" i="97"/>
  <c r="O146" i="97"/>
  <c r="O145" i="97"/>
  <c r="O144" i="97"/>
  <c r="O143" i="97"/>
  <c r="O142" i="97"/>
  <c r="O141" i="97"/>
  <c r="O140" i="97"/>
  <c r="O139" i="97"/>
  <c r="O138" i="97"/>
  <c r="O137" i="97"/>
  <c r="O136" i="97"/>
  <c r="O135" i="97"/>
  <c r="O134" i="97"/>
  <c r="O133" i="97"/>
  <c r="O132" i="97"/>
  <c r="O131" i="97"/>
  <c r="O130" i="97"/>
  <c r="O129" i="97"/>
  <c r="O128" i="97"/>
  <c r="O127" i="97"/>
  <c r="O126" i="97"/>
  <c r="O125" i="97"/>
  <c r="O124" i="97"/>
  <c r="O123" i="97"/>
  <c r="G123" i="97"/>
  <c r="O122" i="97"/>
  <c r="G122" i="97"/>
  <c r="O121" i="97"/>
  <c r="O120" i="97"/>
  <c r="G120" i="97"/>
  <c r="O119" i="97"/>
  <c r="G119" i="97"/>
  <c r="O118" i="97"/>
  <c r="G118" i="97"/>
  <c r="O117" i="97"/>
  <c r="O116" i="97"/>
  <c r="O115" i="97"/>
  <c r="O114" i="97"/>
  <c r="O113" i="97"/>
  <c r="O112" i="97"/>
  <c r="O111" i="97"/>
  <c r="O110" i="97"/>
  <c r="O109" i="97"/>
  <c r="O108" i="97"/>
  <c r="O107" i="97"/>
  <c r="O106" i="97"/>
  <c r="O105" i="97"/>
  <c r="O104" i="97"/>
  <c r="O103" i="97"/>
  <c r="O102" i="97"/>
  <c r="O101" i="97"/>
  <c r="O100" i="97"/>
  <c r="O99" i="97"/>
  <c r="O98" i="97"/>
  <c r="O97" i="97"/>
  <c r="O96" i="97"/>
  <c r="O95" i="97"/>
  <c r="O94" i="97"/>
  <c r="O93" i="97"/>
  <c r="O92" i="97"/>
  <c r="O91" i="97"/>
  <c r="O90" i="97"/>
  <c r="O89" i="97"/>
  <c r="O88" i="97"/>
  <c r="O87" i="97"/>
  <c r="O86" i="97"/>
  <c r="O85" i="97"/>
  <c r="O84" i="97"/>
  <c r="O83" i="97"/>
  <c r="O82" i="97"/>
  <c r="O81" i="97"/>
  <c r="O80" i="97"/>
  <c r="O79" i="97"/>
  <c r="O78" i="97"/>
  <c r="O77" i="97"/>
  <c r="O76" i="97"/>
  <c r="O75" i="97"/>
  <c r="O74" i="97"/>
  <c r="O73" i="97"/>
  <c r="O72" i="97"/>
  <c r="O71" i="97"/>
  <c r="O70" i="97"/>
  <c r="O69" i="97"/>
  <c r="O68" i="97"/>
  <c r="O67" i="97"/>
  <c r="O66" i="97"/>
  <c r="O65" i="97"/>
  <c r="O64" i="97"/>
  <c r="O63" i="97"/>
  <c r="O62" i="97"/>
  <c r="O61" i="97"/>
  <c r="O60" i="97"/>
  <c r="O59" i="97"/>
  <c r="O58" i="97"/>
  <c r="O57" i="97"/>
  <c r="O56" i="97"/>
  <c r="O55" i="97"/>
  <c r="O54" i="97"/>
  <c r="O53" i="97"/>
  <c r="O52" i="97"/>
  <c r="O51" i="97"/>
  <c r="O50" i="97"/>
  <c r="O49" i="97"/>
  <c r="O48" i="97"/>
  <c r="O47" i="97"/>
  <c r="O46" i="97"/>
  <c r="O45" i="97"/>
  <c r="O44" i="97"/>
  <c r="O43" i="97"/>
  <c r="O42" i="97"/>
  <c r="O41" i="97"/>
  <c r="O40" i="97"/>
  <c r="O39" i="97"/>
  <c r="O38" i="97"/>
  <c r="O37" i="97"/>
  <c r="O36" i="97"/>
  <c r="O35" i="97"/>
  <c r="O34" i="97"/>
  <c r="O33" i="97"/>
  <c r="O32" i="97"/>
  <c r="O31" i="97"/>
  <c r="O30" i="97"/>
  <c r="O29" i="97"/>
  <c r="O28" i="97"/>
  <c r="O27" i="97"/>
  <c r="E27" i="97"/>
  <c r="F28" i="97" s="1"/>
  <c r="O26" i="97"/>
  <c r="E26" i="97"/>
  <c r="O25" i="97"/>
  <c r="F25" i="97"/>
  <c r="O24" i="97"/>
  <c r="O23" i="97"/>
  <c r="O22" i="97"/>
  <c r="O21" i="97"/>
  <c r="O20" i="97"/>
  <c r="O19" i="97"/>
  <c r="O18" i="97"/>
  <c r="O17" i="97"/>
  <c r="B17" i="97"/>
  <c r="O16" i="97"/>
  <c r="B16" i="97"/>
  <c r="O15" i="97"/>
  <c r="O14" i="97"/>
  <c r="O13" i="97"/>
  <c r="O12" i="97"/>
  <c r="B12" i="97"/>
  <c r="U11" i="97" s="1"/>
  <c r="V11" i="97" s="1"/>
  <c r="O11" i="97"/>
  <c r="B11" i="97"/>
  <c r="O10" i="97"/>
  <c r="B10" i="97"/>
  <c r="O9" i="97"/>
  <c r="B9" i="97"/>
  <c r="O8" i="97"/>
  <c r="O7" i="97"/>
  <c r="O6" i="97"/>
  <c r="O5" i="97"/>
  <c r="O4" i="97"/>
  <c r="B4" i="97"/>
  <c r="O3" i="97"/>
  <c r="B3" i="97"/>
  <c r="O252" i="96"/>
  <c r="O251" i="96"/>
  <c r="O250" i="96"/>
  <c r="O249" i="96"/>
  <c r="O248" i="96"/>
  <c r="O247" i="96"/>
  <c r="O246" i="96"/>
  <c r="O245" i="96"/>
  <c r="O244" i="96"/>
  <c r="O243" i="96"/>
  <c r="O242" i="96"/>
  <c r="O241" i="96"/>
  <c r="O240" i="96"/>
  <c r="O239" i="96"/>
  <c r="O238" i="96"/>
  <c r="O237" i="96"/>
  <c r="O236" i="96"/>
  <c r="O235" i="96"/>
  <c r="O234" i="96"/>
  <c r="O233" i="96"/>
  <c r="O232" i="96"/>
  <c r="O231" i="96"/>
  <c r="O230" i="96"/>
  <c r="O229" i="96"/>
  <c r="O228" i="96"/>
  <c r="O227" i="96"/>
  <c r="O226" i="96"/>
  <c r="O225" i="96"/>
  <c r="O224" i="96"/>
  <c r="O223" i="96"/>
  <c r="O222" i="96"/>
  <c r="O221" i="96"/>
  <c r="O220" i="96"/>
  <c r="O219" i="96"/>
  <c r="O218" i="96"/>
  <c r="O217" i="96"/>
  <c r="O216" i="96"/>
  <c r="O215" i="96"/>
  <c r="O214" i="96"/>
  <c r="O213" i="96"/>
  <c r="O212" i="96"/>
  <c r="O211" i="96"/>
  <c r="O210" i="96"/>
  <c r="O209" i="96"/>
  <c r="O208" i="96"/>
  <c r="O207" i="96"/>
  <c r="O206" i="96"/>
  <c r="O205" i="96"/>
  <c r="O204" i="96"/>
  <c r="O203" i="96"/>
  <c r="O202" i="96"/>
  <c r="O201" i="96"/>
  <c r="O200" i="96"/>
  <c r="O199" i="96"/>
  <c r="O198" i="96"/>
  <c r="O197" i="96"/>
  <c r="O196" i="96"/>
  <c r="O195" i="96"/>
  <c r="O194" i="96"/>
  <c r="O193" i="96"/>
  <c r="O192" i="96"/>
  <c r="O191" i="96"/>
  <c r="O190" i="96"/>
  <c r="O189" i="96"/>
  <c r="O188" i="96"/>
  <c r="O187" i="96"/>
  <c r="O186" i="96"/>
  <c r="O185" i="96"/>
  <c r="O184" i="96"/>
  <c r="O183" i="96"/>
  <c r="O182" i="96"/>
  <c r="O181" i="96"/>
  <c r="O180" i="96"/>
  <c r="O179" i="96"/>
  <c r="O178" i="96"/>
  <c r="O177" i="96"/>
  <c r="O176" i="96"/>
  <c r="O175" i="96"/>
  <c r="O174" i="96"/>
  <c r="O173" i="96"/>
  <c r="O172" i="96"/>
  <c r="O171" i="96"/>
  <c r="O170" i="96"/>
  <c r="O169" i="96"/>
  <c r="O168" i="96"/>
  <c r="O167" i="96"/>
  <c r="O166" i="96"/>
  <c r="O165" i="96"/>
  <c r="O164" i="96"/>
  <c r="O163" i="96"/>
  <c r="O162" i="96"/>
  <c r="O161" i="96"/>
  <c r="O160" i="96"/>
  <c r="O159" i="96"/>
  <c r="O158" i="96"/>
  <c r="O157" i="96"/>
  <c r="O156" i="96"/>
  <c r="O155" i="96"/>
  <c r="O154" i="96"/>
  <c r="O153" i="96"/>
  <c r="O152" i="96"/>
  <c r="O151" i="96"/>
  <c r="O150" i="96"/>
  <c r="O149" i="96"/>
  <c r="O148" i="96"/>
  <c r="O147" i="96"/>
  <c r="O146" i="96"/>
  <c r="O145" i="96"/>
  <c r="O144" i="96"/>
  <c r="O143" i="96"/>
  <c r="O142" i="96"/>
  <c r="O141" i="96"/>
  <c r="O140" i="96"/>
  <c r="O139" i="96"/>
  <c r="O138" i="96"/>
  <c r="O137" i="96"/>
  <c r="O136" i="96"/>
  <c r="O135" i="96"/>
  <c r="O134" i="96"/>
  <c r="O133" i="96"/>
  <c r="O132" i="96"/>
  <c r="O131" i="96"/>
  <c r="O130" i="96"/>
  <c r="O129" i="96"/>
  <c r="O128" i="96"/>
  <c r="O127" i="96"/>
  <c r="O126" i="96"/>
  <c r="O125" i="96"/>
  <c r="O124" i="96"/>
  <c r="O123" i="96"/>
  <c r="G123" i="96"/>
  <c r="O122" i="96"/>
  <c r="G122" i="96"/>
  <c r="O121" i="96"/>
  <c r="O120" i="96"/>
  <c r="G120" i="96"/>
  <c r="O119" i="96"/>
  <c r="G119" i="96"/>
  <c r="O118" i="96"/>
  <c r="G118" i="96"/>
  <c r="O117" i="96"/>
  <c r="O116" i="96"/>
  <c r="O115" i="96"/>
  <c r="O114" i="96"/>
  <c r="O113" i="96"/>
  <c r="O112" i="96"/>
  <c r="O111" i="96"/>
  <c r="O110" i="96"/>
  <c r="O109" i="96"/>
  <c r="O108" i="96"/>
  <c r="O107" i="96"/>
  <c r="O106" i="96"/>
  <c r="O105" i="96"/>
  <c r="O104" i="96"/>
  <c r="O103" i="96"/>
  <c r="O102" i="96"/>
  <c r="O101" i="96"/>
  <c r="O100" i="96"/>
  <c r="O99" i="96"/>
  <c r="O98" i="96"/>
  <c r="O97" i="96"/>
  <c r="O96" i="96"/>
  <c r="O95" i="96"/>
  <c r="O94" i="96"/>
  <c r="O93" i="96"/>
  <c r="O92" i="96"/>
  <c r="O91" i="96"/>
  <c r="O90" i="96"/>
  <c r="O89" i="96"/>
  <c r="O88" i="96"/>
  <c r="O87" i="96"/>
  <c r="O86" i="96"/>
  <c r="O85" i="96"/>
  <c r="O84" i="96"/>
  <c r="O83" i="96"/>
  <c r="O82" i="96"/>
  <c r="O81" i="96"/>
  <c r="O80" i="96"/>
  <c r="O79" i="96"/>
  <c r="O78" i="96"/>
  <c r="O77" i="96"/>
  <c r="O76" i="96"/>
  <c r="O75" i="96"/>
  <c r="O74" i="96"/>
  <c r="O73" i="96"/>
  <c r="O72" i="96"/>
  <c r="O71" i="96"/>
  <c r="O70" i="96"/>
  <c r="O69" i="96"/>
  <c r="O68" i="96"/>
  <c r="O67" i="96"/>
  <c r="O66" i="96"/>
  <c r="O65" i="96"/>
  <c r="O64" i="96"/>
  <c r="O63" i="96"/>
  <c r="O62" i="96"/>
  <c r="O61" i="96"/>
  <c r="O60" i="96"/>
  <c r="O59" i="96"/>
  <c r="O58" i="96"/>
  <c r="O57" i="96"/>
  <c r="O56" i="96"/>
  <c r="O55" i="96"/>
  <c r="O54" i="96"/>
  <c r="O53" i="96"/>
  <c r="O52" i="96"/>
  <c r="O51" i="96"/>
  <c r="O50" i="96"/>
  <c r="O49" i="96"/>
  <c r="O48" i="96"/>
  <c r="O47" i="96"/>
  <c r="O46" i="96"/>
  <c r="O45" i="96"/>
  <c r="O44" i="96"/>
  <c r="O43" i="96"/>
  <c r="O42" i="96"/>
  <c r="O41" i="96"/>
  <c r="O40" i="96"/>
  <c r="O39" i="96"/>
  <c r="O38" i="96"/>
  <c r="O37" i="96"/>
  <c r="O36" i="96"/>
  <c r="O35" i="96"/>
  <c r="O34" i="96"/>
  <c r="O33" i="96"/>
  <c r="O32" i="96"/>
  <c r="O31" i="96"/>
  <c r="O30" i="96"/>
  <c r="O29" i="96"/>
  <c r="O28" i="96"/>
  <c r="O27" i="96"/>
  <c r="E27" i="96"/>
  <c r="O26" i="96"/>
  <c r="E26" i="96"/>
  <c r="O25" i="96"/>
  <c r="F25" i="96"/>
  <c r="O24" i="96"/>
  <c r="O23" i="96"/>
  <c r="O22" i="96"/>
  <c r="O21" i="96"/>
  <c r="O20" i="96"/>
  <c r="O19" i="96"/>
  <c r="O18" i="96"/>
  <c r="O17" i="96"/>
  <c r="B17" i="96"/>
  <c r="O16" i="96"/>
  <c r="B16" i="96"/>
  <c r="O15" i="96"/>
  <c r="O14" i="96"/>
  <c r="O13" i="96"/>
  <c r="O12" i="96"/>
  <c r="B12" i="96"/>
  <c r="U11" i="96" s="1"/>
  <c r="V11" i="96" s="1"/>
  <c r="O11" i="96"/>
  <c r="B11" i="96"/>
  <c r="B37" i="96" s="1"/>
  <c r="O10" i="96"/>
  <c r="B10" i="96"/>
  <c r="B36" i="96" s="1"/>
  <c r="O9" i="96"/>
  <c r="B9" i="96"/>
  <c r="O8" i="96"/>
  <c r="O7" i="96"/>
  <c r="O6" i="96"/>
  <c r="O5" i="96"/>
  <c r="O4" i="96"/>
  <c r="B4" i="96"/>
  <c r="O3" i="96"/>
  <c r="B3" i="96"/>
  <c r="O252" i="95"/>
  <c r="O251" i="95"/>
  <c r="O250" i="95"/>
  <c r="O249" i="95"/>
  <c r="O248" i="95"/>
  <c r="O247" i="95"/>
  <c r="O246" i="95"/>
  <c r="O245" i="95"/>
  <c r="O244" i="95"/>
  <c r="O243" i="95"/>
  <c r="O242" i="95"/>
  <c r="O241" i="95"/>
  <c r="O240" i="95"/>
  <c r="O239" i="95"/>
  <c r="O238" i="95"/>
  <c r="O237" i="95"/>
  <c r="O236" i="95"/>
  <c r="O235" i="95"/>
  <c r="O234" i="95"/>
  <c r="O233" i="95"/>
  <c r="O232" i="95"/>
  <c r="O231" i="95"/>
  <c r="O230" i="95"/>
  <c r="O229" i="95"/>
  <c r="O228" i="95"/>
  <c r="O227" i="95"/>
  <c r="O226" i="95"/>
  <c r="O225" i="95"/>
  <c r="O224" i="95"/>
  <c r="O223" i="95"/>
  <c r="O222" i="95"/>
  <c r="O221" i="95"/>
  <c r="O220" i="95"/>
  <c r="O219" i="95"/>
  <c r="O218" i="95"/>
  <c r="O217" i="95"/>
  <c r="O216" i="95"/>
  <c r="O215" i="95"/>
  <c r="O214" i="95"/>
  <c r="O213" i="95"/>
  <c r="O212" i="95"/>
  <c r="O211" i="95"/>
  <c r="O210" i="95"/>
  <c r="O209" i="95"/>
  <c r="O208" i="95"/>
  <c r="O207" i="95"/>
  <c r="O206" i="95"/>
  <c r="O205" i="95"/>
  <c r="O204" i="95"/>
  <c r="O203" i="95"/>
  <c r="O202" i="95"/>
  <c r="O201" i="95"/>
  <c r="O200" i="95"/>
  <c r="O199" i="95"/>
  <c r="O198" i="95"/>
  <c r="O197" i="95"/>
  <c r="O196" i="95"/>
  <c r="O195" i="95"/>
  <c r="O194" i="95"/>
  <c r="O193" i="95"/>
  <c r="O192" i="95"/>
  <c r="O191" i="95"/>
  <c r="O190" i="95"/>
  <c r="O189" i="95"/>
  <c r="O188" i="95"/>
  <c r="O187" i="95"/>
  <c r="O186" i="95"/>
  <c r="O185" i="95"/>
  <c r="O184" i="95"/>
  <c r="O183" i="95"/>
  <c r="O182" i="95"/>
  <c r="O181" i="95"/>
  <c r="O180" i="95"/>
  <c r="O179" i="95"/>
  <c r="O178" i="95"/>
  <c r="O177" i="95"/>
  <c r="O176" i="95"/>
  <c r="O175" i="95"/>
  <c r="O174" i="95"/>
  <c r="O173" i="95"/>
  <c r="O172" i="95"/>
  <c r="O171" i="95"/>
  <c r="O170" i="95"/>
  <c r="O169" i="95"/>
  <c r="O168" i="95"/>
  <c r="O167" i="95"/>
  <c r="O166" i="95"/>
  <c r="O165" i="95"/>
  <c r="O164" i="95"/>
  <c r="O163" i="95"/>
  <c r="O162" i="95"/>
  <c r="O161" i="95"/>
  <c r="O160" i="95"/>
  <c r="O159" i="95"/>
  <c r="O158" i="95"/>
  <c r="O157" i="95"/>
  <c r="O156" i="95"/>
  <c r="O155" i="95"/>
  <c r="O154" i="95"/>
  <c r="O153" i="95"/>
  <c r="O152" i="95"/>
  <c r="O151" i="95"/>
  <c r="O150" i="95"/>
  <c r="O149" i="95"/>
  <c r="O148" i="95"/>
  <c r="O147" i="95"/>
  <c r="O146" i="95"/>
  <c r="O145" i="95"/>
  <c r="O144" i="95"/>
  <c r="O143" i="95"/>
  <c r="O142" i="95"/>
  <c r="O141" i="95"/>
  <c r="O140" i="95"/>
  <c r="O139" i="95"/>
  <c r="O138" i="95"/>
  <c r="O137" i="95"/>
  <c r="O136" i="95"/>
  <c r="O135" i="95"/>
  <c r="O134" i="95"/>
  <c r="O133" i="95"/>
  <c r="O132" i="95"/>
  <c r="O131" i="95"/>
  <c r="O130" i="95"/>
  <c r="O129" i="95"/>
  <c r="O128" i="95"/>
  <c r="O127" i="95"/>
  <c r="O126" i="95"/>
  <c r="O125" i="95"/>
  <c r="O124" i="95"/>
  <c r="O123" i="95"/>
  <c r="G123" i="95"/>
  <c r="O122" i="95"/>
  <c r="G122" i="95"/>
  <c r="O121" i="95"/>
  <c r="O120" i="95"/>
  <c r="G120" i="95"/>
  <c r="O119" i="95"/>
  <c r="G119" i="95"/>
  <c r="O118" i="95"/>
  <c r="G118" i="95"/>
  <c r="O117" i="95"/>
  <c r="O116" i="95"/>
  <c r="O115" i="95"/>
  <c r="O114" i="95"/>
  <c r="O113" i="95"/>
  <c r="O112" i="95"/>
  <c r="O111" i="95"/>
  <c r="O110" i="95"/>
  <c r="O109" i="95"/>
  <c r="O108" i="95"/>
  <c r="O107" i="95"/>
  <c r="O106" i="95"/>
  <c r="O105" i="95"/>
  <c r="O104" i="95"/>
  <c r="O103" i="95"/>
  <c r="O102" i="95"/>
  <c r="O101" i="95"/>
  <c r="O100" i="95"/>
  <c r="O99" i="95"/>
  <c r="O98" i="95"/>
  <c r="O97" i="95"/>
  <c r="O96" i="95"/>
  <c r="O95" i="95"/>
  <c r="O94" i="95"/>
  <c r="O93" i="95"/>
  <c r="O92" i="95"/>
  <c r="O91" i="95"/>
  <c r="O90" i="95"/>
  <c r="O89" i="95"/>
  <c r="O88" i="95"/>
  <c r="O87" i="95"/>
  <c r="O86" i="95"/>
  <c r="O85" i="95"/>
  <c r="O84" i="95"/>
  <c r="O83" i="95"/>
  <c r="O82" i="95"/>
  <c r="O81" i="95"/>
  <c r="O80" i="95"/>
  <c r="O79" i="95"/>
  <c r="O78" i="95"/>
  <c r="O77" i="95"/>
  <c r="O76" i="95"/>
  <c r="O75" i="95"/>
  <c r="O74" i="95"/>
  <c r="O73" i="95"/>
  <c r="O72" i="95"/>
  <c r="O71" i="95"/>
  <c r="O70" i="95"/>
  <c r="O69" i="95"/>
  <c r="O68" i="95"/>
  <c r="O67" i="95"/>
  <c r="O66" i="95"/>
  <c r="O65" i="95"/>
  <c r="O64" i="95"/>
  <c r="O63" i="95"/>
  <c r="O62" i="95"/>
  <c r="O61" i="95"/>
  <c r="O60" i="95"/>
  <c r="O59" i="95"/>
  <c r="O58" i="95"/>
  <c r="O57" i="95"/>
  <c r="O56" i="95"/>
  <c r="O55" i="95"/>
  <c r="O54" i="95"/>
  <c r="O53" i="95"/>
  <c r="O52" i="95"/>
  <c r="O51" i="95"/>
  <c r="O50" i="95"/>
  <c r="O49" i="95"/>
  <c r="O48" i="95"/>
  <c r="O47" i="95"/>
  <c r="O46" i="95"/>
  <c r="O45" i="95"/>
  <c r="O44" i="95"/>
  <c r="O43" i="95"/>
  <c r="O42" i="95"/>
  <c r="O41" i="95"/>
  <c r="O40" i="95"/>
  <c r="O39" i="95"/>
  <c r="O38" i="95"/>
  <c r="O37" i="95"/>
  <c r="O36" i="95"/>
  <c r="O35" i="95"/>
  <c r="O34" i="95"/>
  <c r="O33" i="95"/>
  <c r="O32" i="95"/>
  <c r="O31" i="95"/>
  <c r="O30" i="95"/>
  <c r="O29" i="95"/>
  <c r="O28" i="95"/>
  <c r="O27" i="95"/>
  <c r="E27" i="95"/>
  <c r="O26" i="95"/>
  <c r="E26" i="95"/>
  <c r="O25" i="95"/>
  <c r="F25" i="95"/>
  <c r="O24" i="95"/>
  <c r="O23" i="95"/>
  <c r="O22" i="95"/>
  <c r="O21" i="95"/>
  <c r="O20" i="95"/>
  <c r="O19" i="95"/>
  <c r="O18" i="95"/>
  <c r="O17" i="95"/>
  <c r="B17" i="95"/>
  <c r="O16" i="95"/>
  <c r="B16" i="95"/>
  <c r="O15" i="95"/>
  <c r="O14" i="95"/>
  <c r="O13" i="95"/>
  <c r="O12" i="95"/>
  <c r="B12" i="95"/>
  <c r="U11" i="95" s="1"/>
  <c r="V11" i="95" s="1"/>
  <c r="O11" i="95"/>
  <c r="B11" i="95"/>
  <c r="B37" i="95" s="1"/>
  <c r="O10" i="95"/>
  <c r="B10" i="95"/>
  <c r="O9" i="95"/>
  <c r="B9" i="95"/>
  <c r="O8" i="95"/>
  <c r="O7" i="95"/>
  <c r="O6" i="95"/>
  <c r="O5" i="95"/>
  <c r="O4" i="95"/>
  <c r="B4" i="95"/>
  <c r="O3" i="95"/>
  <c r="B3" i="95"/>
  <c r="O252" i="93"/>
  <c r="O251" i="93"/>
  <c r="O250" i="93"/>
  <c r="O249" i="93"/>
  <c r="O248" i="93"/>
  <c r="O247" i="93"/>
  <c r="O246" i="93"/>
  <c r="O245" i="93"/>
  <c r="O244" i="93"/>
  <c r="O243" i="93"/>
  <c r="O242" i="93"/>
  <c r="O241" i="93"/>
  <c r="O240" i="93"/>
  <c r="O239" i="93"/>
  <c r="O238" i="93"/>
  <c r="O237" i="93"/>
  <c r="O236" i="93"/>
  <c r="O235" i="93"/>
  <c r="O234" i="93"/>
  <c r="O233" i="93"/>
  <c r="O232" i="93"/>
  <c r="O231" i="93"/>
  <c r="O230" i="93"/>
  <c r="O229" i="93"/>
  <c r="O228" i="93"/>
  <c r="O227" i="93"/>
  <c r="O226" i="93"/>
  <c r="O225" i="93"/>
  <c r="O224" i="93"/>
  <c r="O223" i="93"/>
  <c r="O222" i="93"/>
  <c r="O221" i="93"/>
  <c r="O220" i="93"/>
  <c r="O219" i="93"/>
  <c r="O218" i="93"/>
  <c r="O217" i="93"/>
  <c r="O216" i="93"/>
  <c r="O215" i="93"/>
  <c r="O214" i="93"/>
  <c r="O213" i="93"/>
  <c r="O212" i="93"/>
  <c r="O211" i="93"/>
  <c r="O210" i="93"/>
  <c r="O209" i="93"/>
  <c r="O208" i="93"/>
  <c r="O207" i="93"/>
  <c r="O206" i="93"/>
  <c r="O205" i="93"/>
  <c r="O204" i="93"/>
  <c r="O203" i="93"/>
  <c r="O202" i="93"/>
  <c r="O201" i="93"/>
  <c r="O200" i="93"/>
  <c r="O199" i="93"/>
  <c r="O198" i="93"/>
  <c r="O197" i="93"/>
  <c r="O196" i="93"/>
  <c r="O195" i="93"/>
  <c r="O194" i="93"/>
  <c r="O193" i="93"/>
  <c r="O192" i="93"/>
  <c r="O191" i="93"/>
  <c r="O190" i="93"/>
  <c r="O189" i="93"/>
  <c r="O188" i="93"/>
  <c r="O187" i="93"/>
  <c r="O186" i="93"/>
  <c r="O185" i="93"/>
  <c r="O184" i="93"/>
  <c r="O183" i="93"/>
  <c r="O182" i="93"/>
  <c r="O181" i="93"/>
  <c r="O180" i="93"/>
  <c r="O179" i="93"/>
  <c r="O178" i="93"/>
  <c r="O177" i="93"/>
  <c r="O176" i="93"/>
  <c r="O175" i="93"/>
  <c r="O174" i="93"/>
  <c r="O173" i="93"/>
  <c r="O172" i="93"/>
  <c r="O171" i="93"/>
  <c r="O170" i="93"/>
  <c r="O169" i="93"/>
  <c r="O168" i="93"/>
  <c r="O167" i="93"/>
  <c r="O166" i="93"/>
  <c r="O165" i="93"/>
  <c r="O164" i="93"/>
  <c r="O163" i="93"/>
  <c r="O162" i="93"/>
  <c r="O161" i="93"/>
  <c r="O160" i="93"/>
  <c r="O159" i="93"/>
  <c r="O158" i="93"/>
  <c r="O157" i="93"/>
  <c r="O156" i="93"/>
  <c r="O155" i="93"/>
  <c r="O154" i="93"/>
  <c r="O153" i="93"/>
  <c r="O152" i="93"/>
  <c r="O151" i="93"/>
  <c r="O150" i="93"/>
  <c r="O149" i="93"/>
  <c r="O148" i="93"/>
  <c r="O147" i="93"/>
  <c r="O146" i="93"/>
  <c r="O145" i="93"/>
  <c r="O144" i="93"/>
  <c r="O143" i="93"/>
  <c r="O142" i="93"/>
  <c r="O141" i="93"/>
  <c r="O140" i="93"/>
  <c r="O139" i="93"/>
  <c r="O138" i="93"/>
  <c r="O137" i="93"/>
  <c r="O136" i="93"/>
  <c r="O135" i="93"/>
  <c r="O134" i="93"/>
  <c r="O133" i="93"/>
  <c r="O132" i="93"/>
  <c r="O131" i="93"/>
  <c r="O130" i="93"/>
  <c r="O129" i="93"/>
  <c r="O128" i="93"/>
  <c r="O127" i="93"/>
  <c r="O126" i="93"/>
  <c r="O125" i="93"/>
  <c r="O124" i="93"/>
  <c r="O123" i="93"/>
  <c r="G123" i="93"/>
  <c r="O122" i="93"/>
  <c r="G122" i="93"/>
  <c r="O121" i="93"/>
  <c r="O120" i="93"/>
  <c r="G120" i="93"/>
  <c r="O119" i="93"/>
  <c r="G119" i="93"/>
  <c r="O118" i="93"/>
  <c r="G118" i="93"/>
  <c r="O117" i="93"/>
  <c r="O116" i="93"/>
  <c r="O115" i="93"/>
  <c r="O114" i="93"/>
  <c r="O113" i="93"/>
  <c r="O112" i="93"/>
  <c r="O111" i="93"/>
  <c r="O110" i="93"/>
  <c r="O109" i="93"/>
  <c r="O108" i="93"/>
  <c r="O107" i="93"/>
  <c r="O106" i="93"/>
  <c r="O105" i="93"/>
  <c r="O104" i="93"/>
  <c r="O103" i="93"/>
  <c r="O102" i="93"/>
  <c r="O101" i="93"/>
  <c r="O100" i="93"/>
  <c r="O99" i="93"/>
  <c r="O98" i="93"/>
  <c r="O97" i="93"/>
  <c r="O96" i="93"/>
  <c r="O95" i="93"/>
  <c r="O94" i="93"/>
  <c r="O93" i="93"/>
  <c r="O92" i="93"/>
  <c r="O91" i="93"/>
  <c r="O90" i="93"/>
  <c r="O89" i="93"/>
  <c r="O88" i="93"/>
  <c r="O87" i="93"/>
  <c r="O86" i="93"/>
  <c r="O85" i="93"/>
  <c r="O84" i="93"/>
  <c r="O83" i="93"/>
  <c r="O82" i="93"/>
  <c r="O81" i="93"/>
  <c r="O80" i="93"/>
  <c r="O79" i="93"/>
  <c r="O78" i="93"/>
  <c r="O77" i="93"/>
  <c r="O76" i="93"/>
  <c r="O75" i="93"/>
  <c r="O74" i="93"/>
  <c r="O73" i="93"/>
  <c r="O72" i="93"/>
  <c r="O71" i="93"/>
  <c r="O70" i="93"/>
  <c r="O69" i="93"/>
  <c r="O68" i="93"/>
  <c r="O67" i="93"/>
  <c r="O66" i="93"/>
  <c r="O65" i="93"/>
  <c r="O64" i="93"/>
  <c r="O63" i="93"/>
  <c r="O62" i="93"/>
  <c r="O61" i="93"/>
  <c r="O60" i="93"/>
  <c r="O59" i="93"/>
  <c r="O58" i="93"/>
  <c r="O57" i="93"/>
  <c r="O56" i="93"/>
  <c r="O55" i="93"/>
  <c r="O54" i="93"/>
  <c r="O53" i="93"/>
  <c r="O52" i="93"/>
  <c r="O51" i="93"/>
  <c r="O50" i="93"/>
  <c r="O49" i="93"/>
  <c r="O48" i="93"/>
  <c r="O47" i="93"/>
  <c r="O46" i="93"/>
  <c r="O45" i="93"/>
  <c r="O44" i="93"/>
  <c r="O43" i="93"/>
  <c r="O42" i="93"/>
  <c r="O41" i="93"/>
  <c r="O40" i="93"/>
  <c r="O39" i="93"/>
  <c r="O38" i="93"/>
  <c r="O37" i="93"/>
  <c r="O36" i="93"/>
  <c r="O35" i="93"/>
  <c r="O34" i="93"/>
  <c r="O33" i="93"/>
  <c r="O32" i="93"/>
  <c r="O31" i="93"/>
  <c r="O30" i="93"/>
  <c r="O29" i="93"/>
  <c r="O28" i="93"/>
  <c r="O27" i="93"/>
  <c r="E27" i="93"/>
  <c r="E31" i="93" s="1"/>
  <c r="O26" i="93"/>
  <c r="E26" i="93"/>
  <c r="O25" i="93"/>
  <c r="F25" i="93"/>
  <c r="O24" i="93"/>
  <c r="O23" i="93"/>
  <c r="O22" i="93"/>
  <c r="O21" i="93"/>
  <c r="O20" i="93"/>
  <c r="O19" i="93"/>
  <c r="O18" i="93"/>
  <c r="O17" i="93"/>
  <c r="B17" i="93"/>
  <c r="O16" i="93"/>
  <c r="B16" i="93"/>
  <c r="C22" i="93" s="1"/>
  <c r="U9" i="93" s="1"/>
  <c r="V9" i="93" s="1"/>
  <c r="O15" i="93"/>
  <c r="O14" i="93"/>
  <c r="O13" i="93"/>
  <c r="O12" i="93"/>
  <c r="B12" i="93"/>
  <c r="U11" i="93" s="1"/>
  <c r="V11" i="93" s="1"/>
  <c r="O11" i="93"/>
  <c r="B11" i="93"/>
  <c r="B37" i="93" s="1"/>
  <c r="O10" i="93"/>
  <c r="B10" i="93"/>
  <c r="B36" i="93" s="1"/>
  <c r="O9" i="93"/>
  <c r="B9" i="93"/>
  <c r="O8" i="93"/>
  <c r="O7" i="93"/>
  <c r="O6" i="93"/>
  <c r="O5" i="93"/>
  <c r="O4" i="93"/>
  <c r="B4" i="93"/>
  <c r="O3" i="93"/>
  <c r="B3" i="93"/>
  <c r="O252" i="92"/>
  <c r="O251" i="92"/>
  <c r="O250" i="92"/>
  <c r="O249" i="92"/>
  <c r="O248" i="92"/>
  <c r="O247" i="92"/>
  <c r="O246" i="92"/>
  <c r="O245" i="92"/>
  <c r="O244" i="92"/>
  <c r="O243" i="92"/>
  <c r="O242" i="92"/>
  <c r="O241" i="92"/>
  <c r="O240" i="92"/>
  <c r="O239" i="92"/>
  <c r="O238" i="92"/>
  <c r="O237" i="92"/>
  <c r="O236" i="92"/>
  <c r="O235" i="92"/>
  <c r="O234" i="92"/>
  <c r="O233" i="92"/>
  <c r="O232" i="92"/>
  <c r="O231" i="92"/>
  <c r="O230" i="92"/>
  <c r="O229" i="92"/>
  <c r="O228" i="92"/>
  <c r="O227" i="92"/>
  <c r="O226" i="92"/>
  <c r="O225" i="92"/>
  <c r="O224" i="92"/>
  <c r="O223" i="92"/>
  <c r="O222" i="92"/>
  <c r="O221" i="92"/>
  <c r="O220" i="92"/>
  <c r="O219" i="92"/>
  <c r="O218" i="92"/>
  <c r="O217" i="92"/>
  <c r="O216" i="92"/>
  <c r="O215" i="92"/>
  <c r="O214" i="92"/>
  <c r="O213" i="92"/>
  <c r="O212" i="92"/>
  <c r="O211" i="92"/>
  <c r="O210" i="92"/>
  <c r="O209" i="92"/>
  <c r="O208" i="92"/>
  <c r="O207" i="92"/>
  <c r="O206" i="92"/>
  <c r="O205" i="92"/>
  <c r="O204" i="92"/>
  <c r="O203" i="92"/>
  <c r="O202" i="92"/>
  <c r="O201" i="92"/>
  <c r="O200" i="92"/>
  <c r="O199" i="92"/>
  <c r="O198" i="92"/>
  <c r="O197" i="92"/>
  <c r="O196" i="92"/>
  <c r="O195" i="92"/>
  <c r="O194" i="92"/>
  <c r="O193" i="92"/>
  <c r="O192" i="92"/>
  <c r="O191" i="92"/>
  <c r="O190" i="92"/>
  <c r="O189" i="92"/>
  <c r="O188" i="92"/>
  <c r="O187" i="92"/>
  <c r="O186" i="92"/>
  <c r="O185" i="92"/>
  <c r="O184" i="92"/>
  <c r="O183" i="92"/>
  <c r="O182" i="92"/>
  <c r="O181" i="92"/>
  <c r="O180" i="92"/>
  <c r="O179" i="92"/>
  <c r="O178" i="92"/>
  <c r="O177" i="92"/>
  <c r="O176" i="92"/>
  <c r="O175" i="92"/>
  <c r="O174" i="92"/>
  <c r="O173" i="92"/>
  <c r="O172" i="92"/>
  <c r="O171" i="92"/>
  <c r="O170" i="92"/>
  <c r="O169" i="92"/>
  <c r="O168" i="92"/>
  <c r="O167" i="92"/>
  <c r="O166" i="92"/>
  <c r="O165" i="92"/>
  <c r="O164" i="92"/>
  <c r="O163" i="92"/>
  <c r="O162" i="92"/>
  <c r="O161" i="92"/>
  <c r="O160" i="92"/>
  <c r="O159" i="92"/>
  <c r="O158" i="92"/>
  <c r="O157" i="92"/>
  <c r="O156" i="92"/>
  <c r="O155" i="92"/>
  <c r="O154" i="92"/>
  <c r="O153" i="92"/>
  <c r="O152" i="92"/>
  <c r="O151" i="92"/>
  <c r="O150" i="92"/>
  <c r="O149" i="92"/>
  <c r="O148" i="92"/>
  <c r="O147" i="92"/>
  <c r="O146" i="92"/>
  <c r="O145" i="92"/>
  <c r="O144" i="92"/>
  <c r="O143" i="92"/>
  <c r="O142" i="92"/>
  <c r="O141" i="92"/>
  <c r="O140" i="92"/>
  <c r="O139" i="92"/>
  <c r="O138" i="92"/>
  <c r="O137" i="92"/>
  <c r="O136" i="92"/>
  <c r="O135" i="92"/>
  <c r="O134" i="92"/>
  <c r="O133" i="92"/>
  <c r="O132" i="92"/>
  <c r="O131" i="92"/>
  <c r="O130" i="92"/>
  <c r="O129" i="92"/>
  <c r="O128" i="92"/>
  <c r="O127" i="92"/>
  <c r="O126" i="92"/>
  <c r="O125" i="92"/>
  <c r="O124" i="92"/>
  <c r="O123" i="92"/>
  <c r="G123" i="92"/>
  <c r="O122" i="92"/>
  <c r="G122" i="92"/>
  <c r="O121" i="92"/>
  <c r="O120" i="92"/>
  <c r="G120" i="92"/>
  <c r="O119" i="92"/>
  <c r="G119" i="92"/>
  <c r="O118" i="92"/>
  <c r="G118" i="92"/>
  <c r="O117" i="92"/>
  <c r="O116" i="92"/>
  <c r="O115" i="92"/>
  <c r="O114" i="92"/>
  <c r="O113" i="92"/>
  <c r="O112" i="92"/>
  <c r="O111" i="92"/>
  <c r="O110" i="92"/>
  <c r="O109" i="92"/>
  <c r="O108" i="92"/>
  <c r="O107" i="92"/>
  <c r="O106" i="92"/>
  <c r="O105" i="92"/>
  <c r="O104" i="92"/>
  <c r="O103" i="92"/>
  <c r="O102" i="92"/>
  <c r="O101" i="92"/>
  <c r="O100" i="92"/>
  <c r="O99" i="92"/>
  <c r="O98" i="92"/>
  <c r="O97" i="92"/>
  <c r="O96" i="92"/>
  <c r="O95" i="92"/>
  <c r="O94" i="92"/>
  <c r="O93" i="92"/>
  <c r="O92" i="92"/>
  <c r="O91" i="92"/>
  <c r="O90" i="92"/>
  <c r="O89" i="92"/>
  <c r="O88" i="92"/>
  <c r="O87" i="92"/>
  <c r="O86" i="92"/>
  <c r="O85" i="92"/>
  <c r="O84" i="92"/>
  <c r="O83" i="92"/>
  <c r="O82" i="92"/>
  <c r="O81" i="92"/>
  <c r="O80" i="92"/>
  <c r="O79" i="92"/>
  <c r="O78" i="92"/>
  <c r="O77" i="92"/>
  <c r="O76" i="92"/>
  <c r="O75" i="92"/>
  <c r="O74" i="92"/>
  <c r="O73" i="92"/>
  <c r="O72" i="92"/>
  <c r="O71" i="92"/>
  <c r="O70" i="92"/>
  <c r="O69" i="92"/>
  <c r="O68" i="92"/>
  <c r="O67" i="92"/>
  <c r="O66" i="92"/>
  <c r="O65" i="92"/>
  <c r="O64" i="92"/>
  <c r="O63" i="92"/>
  <c r="O62" i="92"/>
  <c r="O61" i="92"/>
  <c r="O60" i="92"/>
  <c r="O59" i="92"/>
  <c r="O58" i="92"/>
  <c r="O57" i="92"/>
  <c r="O56" i="92"/>
  <c r="O55" i="92"/>
  <c r="O54" i="92"/>
  <c r="O53" i="92"/>
  <c r="O52" i="92"/>
  <c r="O51" i="92"/>
  <c r="O50" i="92"/>
  <c r="O49" i="92"/>
  <c r="O48" i="92"/>
  <c r="O47" i="92"/>
  <c r="O46" i="92"/>
  <c r="O45" i="92"/>
  <c r="O44" i="92"/>
  <c r="O43" i="92"/>
  <c r="O42" i="92"/>
  <c r="O41" i="92"/>
  <c r="O40" i="92"/>
  <c r="O39" i="92"/>
  <c r="O38" i="92"/>
  <c r="O37" i="92"/>
  <c r="O36" i="92"/>
  <c r="O35" i="92"/>
  <c r="O34" i="92"/>
  <c r="O33" i="92"/>
  <c r="O32" i="92"/>
  <c r="O31" i="92"/>
  <c r="O30" i="92"/>
  <c r="O29" i="92"/>
  <c r="O28" i="92"/>
  <c r="O27" i="92"/>
  <c r="E27" i="92"/>
  <c r="F28" i="92" s="1"/>
  <c r="O26" i="92"/>
  <c r="E26" i="92"/>
  <c r="O25" i="92"/>
  <c r="F25" i="92"/>
  <c r="O24" i="92"/>
  <c r="O23" i="92"/>
  <c r="O22" i="92"/>
  <c r="O21" i="92"/>
  <c r="O20" i="92"/>
  <c r="O19" i="92"/>
  <c r="O18" i="92"/>
  <c r="O17" i="92"/>
  <c r="B17" i="92"/>
  <c r="O16" i="92"/>
  <c r="B16" i="92"/>
  <c r="O15" i="92"/>
  <c r="O14" i="92"/>
  <c r="O13" i="92"/>
  <c r="O12" i="92"/>
  <c r="B12" i="92"/>
  <c r="U11" i="92" s="1"/>
  <c r="V11" i="92" s="1"/>
  <c r="O11" i="92"/>
  <c r="B11" i="92"/>
  <c r="B37" i="92" s="1"/>
  <c r="O10" i="92"/>
  <c r="B10" i="92"/>
  <c r="O9" i="92"/>
  <c r="B9" i="92"/>
  <c r="O8" i="92"/>
  <c r="O7" i="92"/>
  <c r="O6" i="92"/>
  <c r="O5" i="92"/>
  <c r="O4" i="92"/>
  <c r="B4" i="92"/>
  <c r="O3" i="92"/>
  <c r="B3" i="92"/>
  <c r="O252" i="91"/>
  <c r="O251" i="91"/>
  <c r="O250" i="91"/>
  <c r="O249" i="91"/>
  <c r="O248" i="91"/>
  <c r="O247" i="91"/>
  <c r="O246" i="91"/>
  <c r="O245" i="91"/>
  <c r="O244" i="91"/>
  <c r="O243" i="91"/>
  <c r="O242" i="91"/>
  <c r="O241" i="91"/>
  <c r="O240" i="91"/>
  <c r="O239" i="91"/>
  <c r="O238" i="91"/>
  <c r="O237" i="91"/>
  <c r="O236" i="91"/>
  <c r="O235" i="91"/>
  <c r="O234" i="91"/>
  <c r="O233" i="91"/>
  <c r="O232" i="91"/>
  <c r="O231" i="91"/>
  <c r="O230" i="91"/>
  <c r="O229" i="91"/>
  <c r="O228" i="91"/>
  <c r="O227" i="91"/>
  <c r="O226" i="91"/>
  <c r="O225" i="91"/>
  <c r="O224" i="91"/>
  <c r="O223" i="91"/>
  <c r="O222" i="91"/>
  <c r="O221" i="91"/>
  <c r="O220" i="91"/>
  <c r="O219" i="91"/>
  <c r="O218" i="91"/>
  <c r="O217" i="91"/>
  <c r="O216" i="91"/>
  <c r="O215" i="91"/>
  <c r="O214" i="91"/>
  <c r="O213" i="91"/>
  <c r="O212" i="91"/>
  <c r="O211" i="91"/>
  <c r="O210" i="91"/>
  <c r="O209" i="91"/>
  <c r="O208" i="91"/>
  <c r="O207" i="91"/>
  <c r="O206" i="91"/>
  <c r="O205" i="91"/>
  <c r="O204" i="91"/>
  <c r="O203" i="91"/>
  <c r="O202" i="91"/>
  <c r="O201" i="91"/>
  <c r="O200" i="91"/>
  <c r="O199" i="91"/>
  <c r="O198" i="91"/>
  <c r="O197" i="91"/>
  <c r="O196" i="91"/>
  <c r="O195" i="91"/>
  <c r="O194" i="91"/>
  <c r="O193" i="91"/>
  <c r="O192" i="91"/>
  <c r="O191" i="91"/>
  <c r="O190" i="91"/>
  <c r="O189" i="91"/>
  <c r="O188" i="91"/>
  <c r="O187" i="91"/>
  <c r="O186" i="91"/>
  <c r="O185" i="91"/>
  <c r="O184" i="91"/>
  <c r="O183" i="91"/>
  <c r="O182" i="91"/>
  <c r="O181" i="91"/>
  <c r="O180" i="91"/>
  <c r="O179" i="91"/>
  <c r="O178" i="91"/>
  <c r="O177" i="91"/>
  <c r="O176" i="91"/>
  <c r="O175" i="91"/>
  <c r="O174" i="91"/>
  <c r="O173" i="91"/>
  <c r="O172" i="91"/>
  <c r="O171" i="91"/>
  <c r="O170" i="91"/>
  <c r="O169" i="91"/>
  <c r="O168" i="91"/>
  <c r="O167" i="91"/>
  <c r="O166" i="91"/>
  <c r="O165" i="91"/>
  <c r="O164" i="91"/>
  <c r="O163" i="91"/>
  <c r="O162" i="91"/>
  <c r="O161" i="91"/>
  <c r="O160" i="91"/>
  <c r="O159" i="91"/>
  <c r="O158" i="91"/>
  <c r="O157" i="91"/>
  <c r="O156" i="91"/>
  <c r="O155" i="91"/>
  <c r="O154" i="91"/>
  <c r="O153" i="91"/>
  <c r="O152" i="91"/>
  <c r="O151" i="91"/>
  <c r="O150" i="91"/>
  <c r="O149" i="91"/>
  <c r="O148" i="91"/>
  <c r="O147" i="91"/>
  <c r="O146" i="91"/>
  <c r="O145" i="91"/>
  <c r="O144" i="91"/>
  <c r="O143" i="91"/>
  <c r="O142" i="91"/>
  <c r="O141" i="91"/>
  <c r="O140" i="91"/>
  <c r="O139" i="91"/>
  <c r="O138" i="91"/>
  <c r="O137" i="91"/>
  <c r="O136" i="91"/>
  <c r="O135" i="91"/>
  <c r="O134" i="91"/>
  <c r="O133" i="91"/>
  <c r="O132" i="91"/>
  <c r="O131" i="91"/>
  <c r="O130" i="91"/>
  <c r="O129" i="91"/>
  <c r="O128" i="91"/>
  <c r="O127" i="91"/>
  <c r="O126" i="91"/>
  <c r="O125" i="91"/>
  <c r="O124" i="91"/>
  <c r="O123" i="91"/>
  <c r="G123" i="91"/>
  <c r="O122" i="91"/>
  <c r="G122" i="91"/>
  <c r="O121" i="91"/>
  <c r="O120" i="91"/>
  <c r="G120" i="91"/>
  <c r="O119" i="91"/>
  <c r="G119" i="91"/>
  <c r="O118" i="91"/>
  <c r="G118" i="91"/>
  <c r="O117" i="91"/>
  <c r="O116" i="91"/>
  <c r="O115" i="91"/>
  <c r="O114" i="91"/>
  <c r="O113" i="91"/>
  <c r="O112" i="91"/>
  <c r="O111" i="91"/>
  <c r="O110" i="91"/>
  <c r="O109" i="91"/>
  <c r="O108" i="91"/>
  <c r="O107" i="91"/>
  <c r="O106" i="91"/>
  <c r="O105" i="91"/>
  <c r="O104" i="91"/>
  <c r="O103" i="91"/>
  <c r="O102" i="91"/>
  <c r="O101" i="91"/>
  <c r="O100" i="91"/>
  <c r="O99" i="91"/>
  <c r="O98" i="91"/>
  <c r="O97" i="91"/>
  <c r="O96" i="91"/>
  <c r="O95" i="91"/>
  <c r="O94" i="91"/>
  <c r="O93" i="91"/>
  <c r="O92" i="91"/>
  <c r="O91" i="91"/>
  <c r="O90" i="91"/>
  <c r="O89" i="91"/>
  <c r="O88" i="91"/>
  <c r="O87" i="91"/>
  <c r="O86" i="91"/>
  <c r="O85" i="91"/>
  <c r="O84" i="91"/>
  <c r="O83" i="91"/>
  <c r="O82" i="91"/>
  <c r="O81" i="91"/>
  <c r="O80" i="91"/>
  <c r="O79" i="91"/>
  <c r="O78" i="91"/>
  <c r="O77" i="91"/>
  <c r="O76" i="91"/>
  <c r="O75" i="91"/>
  <c r="O74" i="91"/>
  <c r="O73" i="91"/>
  <c r="O72" i="91"/>
  <c r="O71" i="91"/>
  <c r="O70" i="91"/>
  <c r="O69" i="91"/>
  <c r="O68" i="91"/>
  <c r="O67" i="91"/>
  <c r="O66" i="91"/>
  <c r="O65" i="91"/>
  <c r="O64" i="91"/>
  <c r="O63" i="91"/>
  <c r="O62" i="91"/>
  <c r="O61" i="91"/>
  <c r="O60" i="91"/>
  <c r="O59" i="91"/>
  <c r="O58" i="91"/>
  <c r="O57" i="91"/>
  <c r="O56" i="91"/>
  <c r="O55" i="91"/>
  <c r="O54" i="91"/>
  <c r="O53" i="91"/>
  <c r="O52" i="91"/>
  <c r="O51" i="91"/>
  <c r="O50" i="91"/>
  <c r="O49" i="91"/>
  <c r="O48" i="91"/>
  <c r="O47" i="91"/>
  <c r="O46" i="91"/>
  <c r="O45" i="91"/>
  <c r="O44" i="91"/>
  <c r="O43" i="91"/>
  <c r="O42" i="91"/>
  <c r="O41" i="91"/>
  <c r="O40" i="91"/>
  <c r="O39" i="91"/>
  <c r="O38" i="91"/>
  <c r="O37" i="91"/>
  <c r="O36" i="91"/>
  <c r="O35" i="91"/>
  <c r="O34" i="91"/>
  <c r="O33" i="91"/>
  <c r="O32" i="91"/>
  <c r="O31" i="91"/>
  <c r="O30" i="91"/>
  <c r="O29" i="91"/>
  <c r="O28" i="91"/>
  <c r="O27" i="91"/>
  <c r="E27" i="91"/>
  <c r="E31" i="91" s="1"/>
  <c r="O26" i="91"/>
  <c r="E26" i="91"/>
  <c r="O25" i="91"/>
  <c r="F25" i="91"/>
  <c r="O24" i="91"/>
  <c r="O23" i="91"/>
  <c r="O22" i="91"/>
  <c r="O21" i="91"/>
  <c r="O20" i="91"/>
  <c r="O19" i="91"/>
  <c r="O18" i="91"/>
  <c r="O17" i="91"/>
  <c r="B17" i="91"/>
  <c r="O16" i="91"/>
  <c r="B16" i="91"/>
  <c r="O15" i="91"/>
  <c r="O14" i="91"/>
  <c r="O13" i="91"/>
  <c r="O12" i="91"/>
  <c r="B12" i="91"/>
  <c r="U11" i="91" s="1"/>
  <c r="V11" i="91" s="1"/>
  <c r="O11" i="91"/>
  <c r="B11" i="91"/>
  <c r="B37" i="91" s="1"/>
  <c r="O10" i="91"/>
  <c r="B10" i="91"/>
  <c r="B36" i="91" s="1"/>
  <c r="O9" i="91"/>
  <c r="B9" i="91"/>
  <c r="O8" i="91"/>
  <c r="O7" i="91"/>
  <c r="O6" i="91"/>
  <c r="O5" i="91"/>
  <c r="O4" i="91"/>
  <c r="B4" i="91"/>
  <c r="O3" i="91"/>
  <c r="B3" i="91"/>
  <c r="O252" i="90"/>
  <c r="O251" i="90"/>
  <c r="O250" i="90"/>
  <c r="O249" i="90"/>
  <c r="O248" i="90"/>
  <c r="O247" i="90"/>
  <c r="O246" i="90"/>
  <c r="O245" i="90"/>
  <c r="O244" i="90"/>
  <c r="O243" i="90"/>
  <c r="O242" i="90"/>
  <c r="O241" i="90"/>
  <c r="O240" i="90"/>
  <c r="O239" i="90"/>
  <c r="O238" i="90"/>
  <c r="O237" i="90"/>
  <c r="O236" i="90"/>
  <c r="O235" i="90"/>
  <c r="O234" i="90"/>
  <c r="O233" i="90"/>
  <c r="O232" i="90"/>
  <c r="O231" i="90"/>
  <c r="O230" i="90"/>
  <c r="O229" i="90"/>
  <c r="O228" i="90"/>
  <c r="O227" i="90"/>
  <c r="O226" i="90"/>
  <c r="O225" i="90"/>
  <c r="O224" i="90"/>
  <c r="O223" i="90"/>
  <c r="O222" i="90"/>
  <c r="O221" i="90"/>
  <c r="O220" i="90"/>
  <c r="O219" i="90"/>
  <c r="O218" i="90"/>
  <c r="O217" i="90"/>
  <c r="O216" i="90"/>
  <c r="O215" i="90"/>
  <c r="O214" i="90"/>
  <c r="O213" i="90"/>
  <c r="O212" i="90"/>
  <c r="O211" i="90"/>
  <c r="O210" i="90"/>
  <c r="O209" i="90"/>
  <c r="O208" i="90"/>
  <c r="O207" i="90"/>
  <c r="O206" i="90"/>
  <c r="O205" i="90"/>
  <c r="O204" i="90"/>
  <c r="O203" i="90"/>
  <c r="O202" i="90"/>
  <c r="O201" i="90"/>
  <c r="O200" i="90"/>
  <c r="O199" i="90"/>
  <c r="O198" i="90"/>
  <c r="O197" i="90"/>
  <c r="O196" i="90"/>
  <c r="O195" i="90"/>
  <c r="O194" i="90"/>
  <c r="O193" i="90"/>
  <c r="O192" i="90"/>
  <c r="O191" i="90"/>
  <c r="O190" i="90"/>
  <c r="O189" i="90"/>
  <c r="O188" i="90"/>
  <c r="O187" i="90"/>
  <c r="O186" i="90"/>
  <c r="O185" i="90"/>
  <c r="O184" i="90"/>
  <c r="O183" i="90"/>
  <c r="O182" i="90"/>
  <c r="O181" i="90"/>
  <c r="O180" i="90"/>
  <c r="O179" i="90"/>
  <c r="O178" i="90"/>
  <c r="O177" i="90"/>
  <c r="O176" i="90"/>
  <c r="O175" i="90"/>
  <c r="O174" i="90"/>
  <c r="O173" i="90"/>
  <c r="O172" i="90"/>
  <c r="O171" i="90"/>
  <c r="O170" i="90"/>
  <c r="O169" i="90"/>
  <c r="O168" i="90"/>
  <c r="O167" i="90"/>
  <c r="O166" i="90"/>
  <c r="O165" i="90"/>
  <c r="O164" i="90"/>
  <c r="O163" i="90"/>
  <c r="O162" i="90"/>
  <c r="O161" i="90"/>
  <c r="O160" i="90"/>
  <c r="O159" i="90"/>
  <c r="O158" i="90"/>
  <c r="O157" i="90"/>
  <c r="O156" i="90"/>
  <c r="O155" i="90"/>
  <c r="O154" i="90"/>
  <c r="O153" i="90"/>
  <c r="O152" i="90"/>
  <c r="O151" i="90"/>
  <c r="O150" i="90"/>
  <c r="O149" i="90"/>
  <c r="O148" i="90"/>
  <c r="O147" i="90"/>
  <c r="O146" i="90"/>
  <c r="O145" i="90"/>
  <c r="O144" i="90"/>
  <c r="O143" i="90"/>
  <c r="O142" i="90"/>
  <c r="O141" i="90"/>
  <c r="O140" i="90"/>
  <c r="O139" i="90"/>
  <c r="O138" i="90"/>
  <c r="O137" i="90"/>
  <c r="O136" i="90"/>
  <c r="O135" i="90"/>
  <c r="O134" i="90"/>
  <c r="O133" i="90"/>
  <c r="O132" i="90"/>
  <c r="O131" i="90"/>
  <c r="O130" i="90"/>
  <c r="O129" i="90"/>
  <c r="O128" i="90"/>
  <c r="O127" i="90"/>
  <c r="O126" i="90"/>
  <c r="O125" i="90"/>
  <c r="O124" i="90"/>
  <c r="O123" i="90"/>
  <c r="G123" i="90"/>
  <c r="O122" i="90"/>
  <c r="G122" i="90"/>
  <c r="O121" i="90"/>
  <c r="O120" i="90"/>
  <c r="G120" i="90"/>
  <c r="O119" i="90"/>
  <c r="G119" i="90"/>
  <c r="O118" i="90"/>
  <c r="G118" i="90"/>
  <c r="O117" i="90"/>
  <c r="O116" i="90"/>
  <c r="O115" i="90"/>
  <c r="O114" i="90"/>
  <c r="O113" i="90"/>
  <c r="O112" i="90"/>
  <c r="O111" i="90"/>
  <c r="O110" i="90"/>
  <c r="O109" i="90"/>
  <c r="O108" i="90"/>
  <c r="O107" i="90"/>
  <c r="O106" i="90"/>
  <c r="O105" i="90"/>
  <c r="O104" i="90"/>
  <c r="O103" i="90"/>
  <c r="O102" i="90"/>
  <c r="O101" i="90"/>
  <c r="O100" i="90"/>
  <c r="O99" i="90"/>
  <c r="O98" i="90"/>
  <c r="O97" i="90"/>
  <c r="O96" i="90"/>
  <c r="O95" i="90"/>
  <c r="O94" i="90"/>
  <c r="O93" i="90"/>
  <c r="O92" i="90"/>
  <c r="O91" i="90"/>
  <c r="O90" i="90"/>
  <c r="O89" i="90"/>
  <c r="O88" i="90"/>
  <c r="O87" i="90"/>
  <c r="O86" i="90"/>
  <c r="O85" i="90"/>
  <c r="O84" i="90"/>
  <c r="O83" i="90"/>
  <c r="O82" i="90"/>
  <c r="O81" i="90"/>
  <c r="O80" i="90"/>
  <c r="O79" i="90"/>
  <c r="O78" i="90"/>
  <c r="O77" i="90"/>
  <c r="O76" i="90"/>
  <c r="O75" i="90"/>
  <c r="O74" i="90"/>
  <c r="O73" i="90"/>
  <c r="O72" i="90"/>
  <c r="O71" i="90"/>
  <c r="O70" i="90"/>
  <c r="O69" i="90"/>
  <c r="O68" i="90"/>
  <c r="O67" i="90"/>
  <c r="O66" i="90"/>
  <c r="O65" i="90"/>
  <c r="O64" i="90"/>
  <c r="O63" i="90"/>
  <c r="O62" i="90"/>
  <c r="O61" i="90"/>
  <c r="O60" i="90"/>
  <c r="O59" i="90"/>
  <c r="O58" i="90"/>
  <c r="O57" i="90"/>
  <c r="O56" i="90"/>
  <c r="O55" i="90"/>
  <c r="O54" i="90"/>
  <c r="O53" i="90"/>
  <c r="O52" i="90"/>
  <c r="O51" i="90"/>
  <c r="O50" i="90"/>
  <c r="O49" i="90"/>
  <c r="O48" i="90"/>
  <c r="O47" i="90"/>
  <c r="O46" i="90"/>
  <c r="O45" i="90"/>
  <c r="O44" i="90"/>
  <c r="O43" i="90"/>
  <c r="O42" i="90"/>
  <c r="O41" i="90"/>
  <c r="O40" i="90"/>
  <c r="O39" i="90"/>
  <c r="O38" i="90"/>
  <c r="O37" i="90"/>
  <c r="O36" i="90"/>
  <c r="O35" i="90"/>
  <c r="O34" i="90"/>
  <c r="O33" i="90"/>
  <c r="O32" i="90"/>
  <c r="O31" i="90"/>
  <c r="O30" i="90"/>
  <c r="O29" i="90"/>
  <c r="O28" i="90"/>
  <c r="O27" i="90"/>
  <c r="E27" i="90"/>
  <c r="O26" i="90"/>
  <c r="E26" i="90"/>
  <c r="F28" i="90" s="1"/>
  <c r="O25" i="90"/>
  <c r="F25" i="90"/>
  <c r="O24" i="90"/>
  <c r="O23" i="90"/>
  <c r="O22" i="90"/>
  <c r="O21" i="90"/>
  <c r="O20" i="90"/>
  <c r="O19" i="90"/>
  <c r="O18" i="90"/>
  <c r="O17" i="90"/>
  <c r="B17" i="90"/>
  <c r="O16" i="90"/>
  <c r="B16" i="90"/>
  <c r="O15" i="90"/>
  <c r="O14" i="90"/>
  <c r="O13" i="90"/>
  <c r="O12" i="90"/>
  <c r="B12" i="90"/>
  <c r="U11" i="90" s="1"/>
  <c r="V11" i="90" s="1"/>
  <c r="O11" i="90"/>
  <c r="B11" i="90"/>
  <c r="B37" i="90" s="1"/>
  <c r="O10" i="90"/>
  <c r="B10" i="90"/>
  <c r="O9" i="90"/>
  <c r="B9" i="90"/>
  <c r="O8" i="90"/>
  <c r="O7" i="90"/>
  <c r="O6" i="90"/>
  <c r="O5" i="90"/>
  <c r="O4" i="90"/>
  <c r="B4" i="90"/>
  <c r="O3" i="90"/>
  <c r="B3" i="90"/>
  <c r="O252" i="89"/>
  <c r="O251" i="89"/>
  <c r="O250" i="89"/>
  <c r="O249" i="89"/>
  <c r="O248" i="89"/>
  <c r="O247" i="89"/>
  <c r="O246" i="89"/>
  <c r="O245" i="89"/>
  <c r="O244" i="89"/>
  <c r="O243" i="89"/>
  <c r="O242" i="89"/>
  <c r="O241" i="89"/>
  <c r="O240" i="89"/>
  <c r="O239" i="89"/>
  <c r="O238" i="89"/>
  <c r="O237" i="89"/>
  <c r="O236" i="89"/>
  <c r="O235" i="89"/>
  <c r="O234" i="89"/>
  <c r="O233" i="89"/>
  <c r="O232" i="89"/>
  <c r="O231" i="89"/>
  <c r="O230" i="89"/>
  <c r="O229" i="89"/>
  <c r="O228" i="89"/>
  <c r="O227" i="89"/>
  <c r="O226" i="89"/>
  <c r="O225" i="89"/>
  <c r="O224" i="89"/>
  <c r="O223" i="89"/>
  <c r="O222" i="89"/>
  <c r="O221" i="89"/>
  <c r="O220" i="89"/>
  <c r="O219" i="89"/>
  <c r="O218" i="89"/>
  <c r="O217" i="89"/>
  <c r="O216" i="89"/>
  <c r="O215" i="89"/>
  <c r="O214" i="89"/>
  <c r="O213" i="89"/>
  <c r="O212" i="89"/>
  <c r="O211" i="89"/>
  <c r="O210" i="89"/>
  <c r="O209" i="89"/>
  <c r="O208" i="89"/>
  <c r="O207" i="89"/>
  <c r="O206" i="89"/>
  <c r="O205" i="89"/>
  <c r="O204" i="89"/>
  <c r="O203" i="89"/>
  <c r="O202" i="89"/>
  <c r="O201" i="89"/>
  <c r="O200" i="89"/>
  <c r="O199" i="89"/>
  <c r="O198" i="89"/>
  <c r="O197" i="89"/>
  <c r="O196" i="89"/>
  <c r="O195" i="89"/>
  <c r="O194" i="89"/>
  <c r="O193" i="89"/>
  <c r="O192" i="89"/>
  <c r="O191" i="89"/>
  <c r="O190" i="89"/>
  <c r="O189" i="89"/>
  <c r="O188" i="89"/>
  <c r="O187" i="89"/>
  <c r="O186" i="89"/>
  <c r="O185" i="89"/>
  <c r="O184" i="89"/>
  <c r="O183" i="89"/>
  <c r="O182" i="89"/>
  <c r="O181" i="89"/>
  <c r="O180" i="89"/>
  <c r="O179" i="89"/>
  <c r="O178" i="89"/>
  <c r="O177" i="89"/>
  <c r="O176" i="89"/>
  <c r="O175" i="89"/>
  <c r="O174" i="89"/>
  <c r="O173" i="89"/>
  <c r="O172" i="89"/>
  <c r="O171" i="89"/>
  <c r="O170" i="89"/>
  <c r="O169" i="89"/>
  <c r="O168" i="89"/>
  <c r="O167" i="89"/>
  <c r="O166" i="89"/>
  <c r="O165" i="89"/>
  <c r="O164" i="89"/>
  <c r="O163" i="89"/>
  <c r="O162" i="89"/>
  <c r="O161" i="89"/>
  <c r="O160" i="89"/>
  <c r="O159" i="89"/>
  <c r="O158" i="89"/>
  <c r="O157" i="89"/>
  <c r="O156" i="89"/>
  <c r="O155" i="89"/>
  <c r="O154" i="89"/>
  <c r="O153" i="89"/>
  <c r="O152" i="89"/>
  <c r="O151" i="89"/>
  <c r="O150" i="89"/>
  <c r="O149" i="89"/>
  <c r="O148" i="89"/>
  <c r="O147" i="89"/>
  <c r="O146" i="89"/>
  <c r="O145" i="89"/>
  <c r="O144" i="89"/>
  <c r="O143" i="89"/>
  <c r="O142" i="89"/>
  <c r="O141" i="89"/>
  <c r="O140" i="89"/>
  <c r="O139" i="89"/>
  <c r="O138" i="89"/>
  <c r="O137" i="89"/>
  <c r="O136" i="89"/>
  <c r="O135" i="89"/>
  <c r="O134" i="89"/>
  <c r="O133" i="89"/>
  <c r="O132" i="89"/>
  <c r="O131" i="89"/>
  <c r="O130" i="89"/>
  <c r="O129" i="89"/>
  <c r="O128" i="89"/>
  <c r="O127" i="89"/>
  <c r="O126" i="89"/>
  <c r="O125" i="89"/>
  <c r="O124" i="89"/>
  <c r="O123" i="89"/>
  <c r="G123" i="89"/>
  <c r="O122" i="89"/>
  <c r="G122" i="89"/>
  <c r="O121" i="89"/>
  <c r="O120" i="89"/>
  <c r="G120" i="89"/>
  <c r="O119" i="89"/>
  <c r="G119" i="89"/>
  <c r="O118" i="89"/>
  <c r="G118" i="89"/>
  <c r="O117" i="89"/>
  <c r="O116" i="89"/>
  <c r="O115" i="89"/>
  <c r="O114" i="89"/>
  <c r="O113" i="89"/>
  <c r="O112" i="89"/>
  <c r="O111" i="89"/>
  <c r="O110" i="89"/>
  <c r="O109" i="89"/>
  <c r="O108" i="89"/>
  <c r="O107" i="89"/>
  <c r="O106" i="89"/>
  <c r="O105" i="89"/>
  <c r="O104" i="89"/>
  <c r="O103" i="89"/>
  <c r="O102" i="89"/>
  <c r="O101" i="89"/>
  <c r="O100" i="89"/>
  <c r="O99" i="89"/>
  <c r="O98" i="89"/>
  <c r="O97" i="89"/>
  <c r="O96" i="89"/>
  <c r="O95" i="89"/>
  <c r="O94" i="89"/>
  <c r="O93" i="89"/>
  <c r="O92" i="89"/>
  <c r="O91" i="89"/>
  <c r="O90" i="89"/>
  <c r="F90" i="89"/>
  <c r="G90" i="89" s="1"/>
  <c r="O89" i="89"/>
  <c r="O88" i="89"/>
  <c r="O87" i="89"/>
  <c r="O86" i="89"/>
  <c r="O85" i="89"/>
  <c r="O84" i="89"/>
  <c r="O83" i="89"/>
  <c r="O82" i="89"/>
  <c r="O81" i="89"/>
  <c r="O80" i="89"/>
  <c r="O79" i="89"/>
  <c r="O78" i="89"/>
  <c r="O77" i="89"/>
  <c r="O76" i="89"/>
  <c r="O75" i="89"/>
  <c r="O74" i="89"/>
  <c r="O73" i="89"/>
  <c r="O72" i="89"/>
  <c r="O71" i="89"/>
  <c r="O70" i="89"/>
  <c r="O69" i="89"/>
  <c r="O68" i="89"/>
  <c r="O67" i="89"/>
  <c r="O66" i="89"/>
  <c r="O65" i="89"/>
  <c r="O64" i="89"/>
  <c r="O63" i="89"/>
  <c r="O62" i="89"/>
  <c r="O61" i="89"/>
  <c r="O60" i="89"/>
  <c r="O59" i="89"/>
  <c r="O58" i="89"/>
  <c r="O57" i="89"/>
  <c r="O56" i="89"/>
  <c r="O55" i="89"/>
  <c r="O54" i="89"/>
  <c r="O53" i="89"/>
  <c r="O52" i="89"/>
  <c r="O51" i="89"/>
  <c r="O50" i="89"/>
  <c r="O49" i="89"/>
  <c r="O48" i="89"/>
  <c r="O47" i="89"/>
  <c r="O46" i="89"/>
  <c r="O45" i="89"/>
  <c r="O44" i="89"/>
  <c r="O43" i="89"/>
  <c r="O42" i="89"/>
  <c r="O41" i="89"/>
  <c r="O40" i="89"/>
  <c r="O39" i="89"/>
  <c r="O38" i="89"/>
  <c r="O37" i="89"/>
  <c r="O36" i="89"/>
  <c r="O35" i="89"/>
  <c r="O34" i="89"/>
  <c r="O33" i="89"/>
  <c r="O32" i="89"/>
  <c r="O31" i="89"/>
  <c r="O30" i="89"/>
  <c r="O29" i="89"/>
  <c r="O28" i="89"/>
  <c r="O27" i="89"/>
  <c r="E27" i="89"/>
  <c r="O26" i="89"/>
  <c r="E26" i="89"/>
  <c r="E31" i="89" s="1"/>
  <c r="O25" i="89"/>
  <c r="F25" i="89"/>
  <c r="O24" i="89"/>
  <c r="O23" i="89"/>
  <c r="O22" i="89"/>
  <c r="O21" i="89"/>
  <c r="O20" i="89"/>
  <c r="O19" i="89"/>
  <c r="O18" i="89"/>
  <c r="O17" i="89"/>
  <c r="B17" i="89"/>
  <c r="O16" i="89"/>
  <c r="B16" i="89"/>
  <c r="F74" i="89" s="1"/>
  <c r="G74" i="89" s="1"/>
  <c r="O15" i="89"/>
  <c r="O14" i="89"/>
  <c r="O13" i="89"/>
  <c r="O12" i="89"/>
  <c r="B12" i="89"/>
  <c r="U11" i="89" s="1"/>
  <c r="V11" i="89" s="1"/>
  <c r="O11" i="89"/>
  <c r="B11" i="89"/>
  <c r="B20" i="89" s="1"/>
  <c r="O10" i="89"/>
  <c r="B10" i="89"/>
  <c r="O9" i="89"/>
  <c r="B9" i="89"/>
  <c r="O8" i="89"/>
  <c r="O7" i="89"/>
  <c r="O6" i="89"/>
  <c r="O5" i="89"/>
  <c r="O4" i="89"/>
  <c r="B4" i="89"/>
  <c r="O3" i="89"/>
  <c r="B3" i="89"/>
  <c r="O252" i="88"/>
  <c r="O251" i="88"/>
  <c r="O250" i="88"/>
  <c r="O249" i="88"/>
  <c r="O248" i="88"/>
  <c r="O247" i="88"/>
  <c r="O246" i="88"/>
  <c r="O245" i="88"/>
  <c r="O244" i="88"/>
  <c r="O243" i="88"/>
  <c r="O242" i="88"/>
  <c r="O241" i="88"/>
  <c r="O240" i="88"/>
  <c r="O239" i="88"/>
  <c r="O238" i="88"/>
  <c r="O237" i="88"/>
  <c r="O236" i="88"/>
  <c r="O235" i="88"/>
  <c r="O234" i="88"/>
  <c r="O233" i="88"/>
  <c r="O232" i="88"/>
  <c r="O231" i="88"/>
  <c r="O230" i="88"/>
  <c r="O229" i="88"/>
  <c r="O228" i="88"/>
  <c r="O227" i="88"/>
  <c r="O226" i="88"/>
  <c r="O225" i="88"/>
  <c r="O224" i="88"/>
  <c r="O223" i="88"/>
  <c r="O222" i="88"/>
  <c r="O221" i="88"/>
  <c r="O220" i="88"/>
  <c r="O219" i="88"/>
  <c r="O218" i="88"/>
  <c r="O217" i="88"/>
  <c r="O216" i="88"/>
  <c r="O215" i="88"/>
  <c r="O214" i="88"/>
  <c r="O213" i="88"/>
  <c r="O212" i="88"/>
  <c r="O211" i="88"/>
  <c r="O210" i="88"/>
  <c r="O209" i="88"/>
  <c r="O208" i="88"/>
  <c r="O207" i="88"/>
  <c r="O206" i="88"/>
  <c r="O205" i="88"/>
  <c r="O204" i="88"/>
  <c r="O203" i="88"/>
  <c r="O202" i="88"/>
  <c r="O201" i="88"/>
  <c r="O200" i="88"/>
  <c r="O199" i="88"/>
  <c r="O198" i="88"/>
  <c r="O197" i="88"/>
  <c r="O196" i="88"/>
  <c r="O195" i="88"/>
  <c r="O194" i="88"/>
  <c r="O193" i="88"/>
  <c r="O192" i="88"/>
  <c r="O191" i="88"/>
  <c r="O190" i="88"/>
  <c r="O189" i="88"/>
  <c r="O188" i="88"/>
  <c r="O187" i="88"/>
  <c r="O186" i="88"/>
  <c r="O185" i="88"/>
  <c r="O184" i="88"/>
  <c r="O183" i="88"/>
  <c r="O182" i="88"/>
  <c r="O181" i="88"/>
  <c r="O180" i="88"/>
  <c r="O179" i="88"/>
  <c r="O178" i="88"/>
  <c r="O177" i="88"/>
  <c r="O176" i="88"/>
  <c r="O175" i="88"/>
  <c r="O174" i="88"/>
  <c r="O173" i="88"/>
  <c r="O172" i="88"/>
  <c r="O171" i="88"/>
  <c r="O170" i="88"/>
  <c r="O169" i="88"/>
  <c r="O168" i="88"/>
  <c r="O167" i="88"/>
  <c r="O166" i="88"/>
  <c r="O165" i="88"/>
  <c r="O164" i="88"/>
  <c r="O163" i="88"/>
  <c r="O162" i="88"/>
  <c r="O161" i="88"/>
  <c r="O160" i="88"/>
  <c r="O159" i="88"/>
  <c r="O158" i="88"/>
  <c r="O157" i="88"/>
  <c r="O156" i="88"/>
  <c r="O155" i="88"/>
  <c r="O154" i="88"/>
  <c r="O153" i="88"/>
  <c r="O152" i="88"/>
  <c r="O151" i="88"/>
  <c r="O150" i="88"/>
  <c r="O149" i="88"/>
  <c r="O148" i="88"/>
  <c r="O147" i="88"/>
  <c r="O146" i="88"/>
  <c r="O145" i="88"/>
  <c r="O144" i="88"/>
  <c r="O143" i="88"/>
  <c r="O142" i="88"/>
  <c r="O141" i="88"/>
  <c r="O140" i="88"/>
  <c r="O139" i="88"/>
  <c r="O138" i="88"/>
  <c r="O137" i="88"/>
  <c r="O136" i="88"/>
  <c r="O135" i="88"/>
  <c r="O134" i="88"/>
  <c r="O133" i="88"/>
  <c r="O132" i="88"/>
  <c r="O131" i="88"/>
  <c r="O130" i="88"/>
  <c r="O129" i="88"/>
  <c r="O128" i="88"/>
  <c r="O127" i="88"/>
  <c r="O126" i="88"/>
  <c r="O125" i="88"/>
  <c r="O124" i="88"/>
  <c r="O123" i="88"/>
  <c r="G123" i="88"/>
  <c r="O122" i="88"/>
  <c r="G122" i="88"/>
  <c r="O121" i="88"/>
  <c r="O120" i="88"/>
  <c r="G120" i="88"/>
  <c r="O119" i="88"/>
  <c r="G119" i="88"/>
  <c r="O118" i="88"/>
  <c r="G118" i="88"/>
  <c r="O117" i="88"/>
  <c r="O116" i="88"/>
  <c r="O115" i="88"/>
  <c r="O114" i="88"/>
  <c r="O113" i="88"/>
  <c r="O112" i="88"/>
  <c r="O111" i="88"/>
  <c r="O110" i="88"/>
  <c r="O109" i="88"/>
  <c r="O108" i="88"/>
  <c r="O107" i="88"/>
  <c r="O106" i="88"/>
  <c r="O105" i="88"/>
  <c r="O104" i="88"/>
  <c r="O103" i="88"/>
  <c r="O102" i="88"/>
  <c r="O101" i="88"/>
  <c r="O100" i="88"/>
  <c r="O99" i="88"/>
  <c r="O98" i="88"/>
  <c r="O97" i="88"/>
  <c r="O96" i="88"/>
  <c r="O95" i="88"/>
  <c r="O94" i="88"/>
  <c r="O93" i="88"/>
  <c r="O92" i="88"/>
  <c r="O91" i="88"/>
  <c r="O90" i="88"/>
  <c r="O89" i="88"/>
  <c r="O88" i="88"/>
  <c r="O87" i="88"/>
  <c r="O86" i="88"/>
  <c r="O85" i="88"/>
  <c r="O84" i="88"/>
  <c r="O83" i="88"/>
  <c r="O82" i="88"/>
  <c r="O81" i="88"/>
  <c r="O80" i="88"/>
  <c r="O79" i="88"/>
  <c r="O78" i="88"/>
  <c r="O77" i="88"/>
  <c r="O76" i="88"/>
  <c r="O75" i="88"/>
  <c r="O74" i="88"/>
  <c r="O73" i="88"/>
  <c r="O72" i="88"/>
  <c r="O71" i="88"/>
  <c r="O70" i="88"/>
  <c r="O69" i="88"/>
  <c r="O68" i="88"/>
  <c r="O67" i="88"/>
  <c r="O66" i="88"/>
  <c r="O65" i="88"/>
  <c r="O64" i="88"/>
  <c r="O63" i="88"/>
  <c r="O62" i="88"/>
  <c r="O61" i="88"/>
  <c r="O60" i="88"/>
  <c r="O59" i="88"/>
  <c r="O58" i="88"/>
  <c r="O57" i="88"/>
  <c r="O56" i="88"/>
  <c r="O55" i="88"/>
  <c r="O54" i="88"/>
  <c r="O53" i="88"/>
  <c r="O52" i="88"/>
  <c r="O51" i="88"/>
  <c r="O50" i="88"/>
  <c r="O49" i="88"/>
  <c r="O48" i="88"/>
  <c r="O47" i="88"/>
  <c r="O46" i="88"/>
  <c r="O45" i="88"/>
  <c r="O44" i="88"/>
  <c r="O43" i="88"/>
  <c r="O42" i="88"/>
  <c r="O41" i="88"/>
  <c r="O40" i="88"/>
  <c r="O39" i="88"/>
  <c r="O38" i="88"/>
  <c r="O37" i="88"/>
  <c r="O36" i="88"/>
  <c r="O35" i="88"/>
  <c r="O34" i="88"/>
  <c r="O33" i="88"/>
  <c r="O32" i="88"/>
  <c r="O31" i="88"/>
  <c r="O30" i="88"/>
  <c r="O29" i="88"/>
  <c r="O28" i="88"/>
  <c r="O27" i="88"/>
  <c r="E27" i="88"/>
  <c r="O26" i="88"/>
  <c r="E26" i="88"/>
  <c r="O25" i="88"/>
  <c r="F25" i="88"/>
  <c r="O24" i="88"/>
  <c r="O23" i="88"/>
  <c r="O22" i="88"/>
  <c r="O21" i="88"/>
  <c r="O20" i="88"/>
  <c r="O19" i="88"/>
  <c r="O18" i="88"/>
  <c r="O17" i="88"/>
  <c r="B17" i="88"/>
  <c r="O16" i="88"/>
  <c r="B16" i="88"/>
  <c r="O15" i="88"/>
  <c r="O14" i="88"/>
  <c r="O13" i="88"/>
  <c r="O12" i="88"/>
  <c r="B12" i="88"/>
  <c r="U11" i="88" s="1"/>
  <c r="V11" i="88" s="1"/>
  <c r="O11" i="88"/>
  <c r="B11" i="88"/>
  <c r="O10" i="88"/>
  <c r="B10" i="88"/>
  <c r="B36" i="88" s="1"/>
  <c r="O9" i="88"/>
  <c r="B9" i="88"/>
  <c r="O8" i="88"/>
  <c r="O7" i="88"/>
  <c r="O6" i="88"/>
  <c r="O5" i="88"/>
  <c r="O4" i="88"/>
  <c r="B4" i="88"/>
  <c r="O3" i="88"/>
  <c r="B3" i="88"/>
  <c r="B4" i="87"/>
  <c r="B3" i="87"/>
  <c r="B4" i="86"/>
  <c r="B3" i="86"/>
  <c r="B4" i="45"/>
  <c r="B3" i="45"/>
  <c r="O252" i="87"/>
  <c r="O251" i="87"/>
  <c r="O250" i="87"/>
  <c r="O249" i="87"/>
  <c r="O248" i="87"/>
  <c r="O247" i="87"/>
  <c r="O246" i="87"/>
  <c r="O245" i="87"/>
  <c r="O244" i="87"/>
  <c r="O243" i="87"/>
  <c r="O242" i="87"/>
  <c r="O241" i="87"/>
  <c r="O240" i="87"/>
  <c r="O239" i="87"/>
  <c r="O238" i="87"/>
  <c r="O237" i="87"/>
  <c r="O236" i="87"/>
  <c r="O235" i="87"/>
  <c r="O234" i="87"/>
  <c r="O233" i="87"/>
  <c r="O232" i="87"/>
  <c r="O231" i="87"/>
  <c r="O230" i="87"/>
  <c r="O229" i="87"/>
  <c r="O228" i="87"/>
  <c r="O227" i="87"/>
  <c r="O226" i="87"/>
  <c r="O225" i="87"/>
  <c r="O224" i="87"/>
  <c r="O223" i="87"/>
  <c r="O222" i="87"/>
  <c r="O221" i="87"/>
  <c r="O220" i="87"/>
  <c r="O219" i="87"/>
  <c r="O218" i="87"/>
  <c r="O217" i="87"/>
  <c r="O216" i="87"/>
  <c r="O215" i="87"/>
  <c r="O214" i="87"/>
  <c r="O213" i="87"/>
  <c r="O212" i="87"/>
  <c r="O211" i="87"/>
  <c r="O210" i="87"/>
  <c r="O209" i="87"/>
  <c r="O208" i="87"/>
  <c r="O207" i="87"/>
  <c r="O206" i="87"/>
  <c r="O205" i="87"/>
  <c r="O204" i="87"/>
  <c r="O203" i="87"/>
  <c r="O202" i="87"/>
  <c r="O201" i="87"/>
  <c r="O200" i="87"/>
  <c r="O199" i="87"/>
  <c r="O198" i="87"/>
  <c r="O197" i="87"/>
  <c r="O196" i="87"/>
  <c r="O195" i="87"/>
  <c r="O194" i="87"/>
  <c r="O193" i="87"/>
  <c r="O192" i="87"/>
  <c r="O191" i="87"/>
  <c r="O190" i="87"/>
  <c r="O189" i="87"/>
  <c r="O188" i="87"/>
  <c r="O187" i="87"/>
  <c r="O186" i="87"/>
  <c r="O185" i="87"/>
  <c r="O184" i="87"/>
  <c r="O183" i="87"/>
  <c r="O182" i="87"/>
  <c r="O181" i="87"/>
  <c r="O180" i="87"/>
  <c r="O179" i="87"/>
  <c r="O178" i="87"/>
  <c r="O177" i="87"/>
  <c r="O176" i="87"/>
  <c r="O175" i="87"/>
  <c r="O174" i="87"/>
  <c r="O173" i="87"/>
  <c r="O172" i="87"/>
  <c r="O171" i="87"/>
  <c r="O170" i="87"/>
  <c r="O169" i="87"/>
  <c r="O168" i="87"/>
  <c r="O167" i="87"/>
  <c r="O166" i="87"/>
  <c r="O165" i="87"/>
  <c r="O164" i="87"/>
  <c r="O163" i="87"/>
  <c r="O162" i="87"/>
  <c r="O161" i="87"/>
  <c r="O160" i="87"/>
  <c r="O159" i="87"/>
  <c r="O158" i="87"/>
  <c r="O157" i="87"/>
  <c r="O156" i="87"/>
  <c r="O155" i="87"/>
  <c r="O154" i="87"/>
  <c r="O153" i="87"/>
  <c r="O152" i="87"/>
  <c r="O151" i="87"/>
  <c r="O150" i="87"/>
  <c r="O149" i="87"/>
  <c r="O148" i="87"/>
  <c r="O147" i="87"/>
  <c r="O146" i="87"/>
  <c r="O145" i="87"/>
  <c r="O144" i="87"/>
  <c r="O143" i="87"/>
  <c r="O142" i="87"/>
  <c r="O141" i="87"/>
  <c r="O140" i="87"/>
  <c r="O139" i="87"/>
  <c r="O138" i="87"/>
  <c r="O137" i="87"/>
  <c r="O136" i="87"/>
  <c r="O135" i="87"/>
  <c r="O134" i="87"/>
  <c r="O133" i="87"/>
  <c r="O132" i="87"/>
  <c r="O131" i="87"/>
  <c r="O130" i="87"/>
  <c r="O129" i="87"/>
  <c r="O128" i="87"/>
  <c r="O127" i="87"/>
  <c r="O126" i="87"/>
  <c r="O125" i="87"/>
  <c r="O124" i="87"/>
  <c r="O123" i="87"/>
  <c r="G123" i="87"/>
  <c r="O122" i="87"/>
  <c r="G122" i="87"/>
  <c r="O121" i="87"/>
  <c r="O120" i="87"/>
  <c r="G120" i="87"/>
  <c r="O119" i="87"/>
  <c r="G119" i="87"/>
  <c r="O118" i="87"/>
  <c r="G118" i="87"/>
  <c r="O117" i="87"/>
  <c r="O116" i="87"/>
  <c r="O115" i="87"/>
  <c r="O114" i="87"/>
  <c r="O113" i="87"/>
  <c r="O112" i="87"/>
  <c r="O111" i="87"/>
  <c r="O110" i="87"/>
  <c r="O109" i="87"/>
  <c r="O108" i="87"/>
  <c r="O107" i="87"/>
  <c r="O106" i="87"/>
  <c r="O105" i="87"/>
  <c r="O104" i="87"/>
  <c r="O103" i="87"/>
  <c r="O102" i="87"/>
  <c r="O101" i="87"/>
  <c r="O100" i="87"/>
  <c r="O99" i="87"/>
  <c r="O98" i="87"/>
  <c r="O97" i="87"/>
  <c r="O96" i="87"/>
  <c r="O95" i="87"/>
  <c r="O94" i="87"/>
  <c r="O93" i="87"/>
  <c r="O92" i="87"/>
  <c r="O91" i="87"/>
  <c r="O90" i="87"/>
  <c r="O89" i="87"/>
  <c r="O88" i="87"/>
  <c r="O87" i="87"/>
  <c r="O86" i="87"/>
  <c r="O85" i="87"/>
  <c r="O84" i="87"/>
  <c r="O83" i="87"/>
  <c r="O82" i="87"/>
  <c r="O81" i="87"/>
  <c r="O80" i="87"/>
  <c r="O79" i="87"/>
  <c r="O78" i="87"/>
  <c r="O77" i="87"/>
  <c r="O76" i="87"/>
  <c r="O75" i="87"/>
  <c r="O74" i="87"/>
  <c r="O73" i="87"/>
  <c r="O72" i="87"/>
  <c r="O71" i="87"/>
  <c r="O70" i="87"/>
  <c r="O69" i="87"/>
  <c r="O68" i="87"/>
  <c r="O67" i="87"/>
  <c r="O66" i="87"/>
  <c r="O65" i="87"/>
  <c r="O64" i="87"/>
  <c r="O63" i="87"/>
  <c r="O62" i="87"/>
  <c r="O61" i="87"/>
  <c r="O60" i="87"/>
  <c r="O59" i="87"/>
  <c r="O58" i="87"/>
  <c r="O57" i="87"/>
  <c r="O56" i="87"/>
  <c r="O55" i="87"/>
  <c r="O54" i="87"/>
  <c r="O53" i="87"/>
  <c r="O52" i="87"/>
  <c r="O51" i="87"/>
  <c r="O50" i="87"/>
  <c r="O49" i="87"/>
  <c r="O48" i="87"/>
  <c r="O47" i="87"/>
  <c r="O46" i="87"/>
  <c r="O45" i="87"/>
  <c r="O44" i="87"/>
  <c r="O43" i="87"/>
  <c r="O42" i="87"/>
  <c r="O41" i="87"/>
  <c r="O40" i="87"/>
  <c r="O39" i="87"/>
  <c r="O38" i="87"/>
  <c r="O37" i="87"/>
  <c r="O36" i="87"/>
  <c r="O35" i="87"/>
  <c r="O34" i="87"/>
  <c r="O33" i="87"/>
  <c r="O32" i="87"/>
  <c r="O31" i="87"/>
  <c r="O30" i="87"/>
  <c r="O29" i="87"/>
  <c r="O28" i="87"/>
  <c r="O27" i="87"/>
  <c r="E27" i="87"/>
  <c r="O26" i="87"/>
  <c r="E26" i="87"/>
  <c r="O25" i="87"/>
  <c r="F25" i="87"/>
  <c r="O24" i="87"/>
  <c r="O23" i="87"/>
  <c r="O22" i="87"/>
  <c r="O21" i="87"/>
  <c r="O20" i="87"/>
  <c r="O19" i="87"/>
  <c r="O18" i="87"/>
  <c r="O17" i="87"/>
  <c r="B17" i="87"/>
  <c r="O16" i="87"/>
  <c r="B16" i="87"/>
  <c r="O15" i="87"/>
  <c r="O14" i="87"/>
  <c r="O13" i="87"/>
  <c r="O12" i="87"/>
  <c r="B12" i="87"/>
  <c r="U11" i="87" s="1"/>
  <c r="V11" i="87" s="1"/>
  <c r="O11" i="87"/>
  <c r="B11" i="87"/>
  <c r="B37" i="87" s="1"/>
  <c r="O10" i="87"/>
  <c r="B10" i="87"/>
  <c r="O9" i="87"/>
  <c r="B9" i="87"/>
  <c r="O8" i="87"/>
  <c r="O7" i="87"/>
  <c r="O6" i="87"/>
  <c r="O5" i="87"/>
  <c r="O4" i="87"/>
  <c r="O3" i="87"/>
  <c r="O252" i="86"/>
  <c r="O251" i="86"/>
  <c r="O250" i="86"/>
  <c r="O249" i="86"/>
  <c r="O248" i="86"/>
  <c r="O247" i="86"/>
  <c r="O246" i="86"/>
  <c r="O245" i="86"/>
  <c r="O244" i="86"/>
  <c r="O243" i="86"/>
  <c r="O242" i="86"/>
  <c r="O241" i="86"/>
  <c r="O240" i="86"/>
  <c r="O239" i="86"/>
  <c r="O238" i="86"/>
  <c r="O237" i="86"/>
  <c r="O236" i="86"/>
  <c r="O235" i="86"/>
  <c r="O234" i="86"/>
  <c r="O233" i="86"/>
  <c r="O232" i="86"/>
  <c r="O231" i="86"/>
  <c r="O230" i="86"/>
  <c r="O229" i="86"/>
  <c r="O228" i="86"/>
  <c r="O227" i="86"/>
  <c r="O226" i="86"/>
  <c r="O225" i="86"/>
  <c r="O224" i="86"/>
  <c r="O223" i="86"/>
  <c r="O222" i="86"/>
  <c r="O221" i="86"/>
  <c r="O220" i="86"/>
  <c r="O219" i="86"/>
  <c r="O218" i="86"/>
  <c r="O217" i="86"/>
  <c r="O216" i="86"/>
  <c r="O215" i="86"/>
  <c r="O214" i="86"/>
  <c r="O213" i="86"/>
  <c r="O212" i="86"/>
  <c r="O211" i="86"/>
  <c r="O210" i="86"/>
  <c r="O209" i="86"/>
  <c r="O208" i="86"/>
  <c r="O207" i="86"/>
  <c r="O206" i="86"/>
  <c r="O205" i="86"/>
  <c r="O204" i="86"/>
  <c r="O203" i="86"/>
  <c r="O202" i="86"/>
  <c r="O201" i="86"/>
  <c r="O200" i="86"/>
  <c r="O199" i="86"/>
  <c r="O198" i="86"/>
  <c r="O197" i="86"/>
  <c r="O196" i="86"/>
  <c r="O195" i="86"/>
  <c r="O194" i="86"/>
  <c r="O193" i="86"/>
  <c r="O192" i="86"/>
  <c r="O191" i="86"/>
  <c r="O190" i="86"/>
  <c r="O189" i="86"/>
  <c r="O188" i="86"/>
  <c r="O187" i="86"/>
  <c r="O186" i="86"/>
  <c r="O185" i="86"/>
  <c r="O184" i="86"/>
  <c r="O183" i="86"/>
  <c r="O182" i="86"/>
  <c r="O181" i="86"/>
  <c r="O180" i="86"/>
  <c r="O179" i="86"/>
  <c r="O178" i="86"/>
  <c r="O177" i="86"/>
  <c r="O176" i="86"/>
  <c r="O175" i="86"/>
  <c r="O174" i="86"/>
  <c r="O173" i="86"/>
  <c r="O172" i="86"/>
  <c r="O171" i="86"/>
  <c r="O170" i="86"/>
  <c r="O169" i="86"/>
  <c r="O168" i="86"/>
  <c r="O167" i="86"/>
  <c r="O166" i="86"/>
  <c r="O165" i="86"/>
  <c r="O164" i="86"/>
  <c r="O163" i="86"/>
  <c r="O162" i="86"/>
  <c r="O161" i="86"/>
  <c r="O160" i="86"/>
  <c r="O159" i="86"/>
  <c r="O158" i="86"/>
  <c r="O157" i="86"/>
  <c r="O156" i="86"/>
  <c r="O155" i="86"/>
  <c r="O154" i="86"/>
  <c r="O153" i="86"/>
  <c r="O152" i="86"/>
  <c r="O151" i="86"/>
  <c r="O150" i="86"/>
  <c r="O149" i="86"/>
  <c r="O148" i="86"/>
  <c r="O147" i="86"/>
  <c r="O146" i="86"/>
  <c r="O145" i="86"/>
  <c r="O144" i="86"/>
  <c r="O143" i="86"/>
  <c r="O142" i="86"/>
  <c r="O141" i="86"/>
  <c r="O140" i="86"/>
  <c r="O139" i="86"/>
  <c r="O138" i="86"/>
  <c r="O137" i="86"/>
  <c r="O136" i="86"/>
  <c r="O135" i="86"/>
  <c r="O134" i="86"/>
  <c r="O133" i="86"/>
  <c r="O132" i="86"/>
  <c r="O131" i="86"/>
  <c r="O130" i="86"/>
  <c r="O129" i="86"/>
  <c r="O128" i="86"/>
  <c r="O127" i="86"/>
  <c r="O126" i="86"/>
  <c r="O125" i="86"/>
  <c r="O124" i="86"/>
  <c r="O123" i="86"/>
  <c r="G123" i="86"/>
  <c r="O122" i="86"/>
  <c r="G122" i="86"/>
  <c r="O121" i="86"/>
  <c r="O120" i="86"/>
  <c r="G120" i="86"/>
  <c r="O119" i="86"/>
  <c r="G119" i="86"/>
  <c r="O118" i="86"/>
  <c r="G118" i="86"/>
  <c r="O117" i="86"/>
  <c r="O116" i="86"/>
  <c r="O115" i="86"/>
  <c r="O114" i="86"/>
  <c r="O113" i="86"/>
  <c r="O112" i="86"/>
  <c r="O111" i="86"/>
  <c r="O110" i="86"/>
  <c r="O109" i="86"/>
  <c r="O108" i="86"/>
  <c r="O107" i="86"/>
  <c r="O106" i="86"/>
  <c r="O105" i="86"/>
  <c r="O104" i="86"/>
  <c r="O103" i="86"/>
  <c r="O102" i="86"/>
  <c r="O101" i="86"/>
  <c r="O100" i="86"/>
  <c r="O99" i="86"/>
  <c r="O98" i="86"/>
  <c r="O97" i="86"/>
  <c r="O96" i="86"/>
  <c r="O95" i="86"/>
  <c r="O94" i="86"/>
  <c r="O93" i="86"/>
  <c r="O92" i="86"/>
  <c r="O91" i="86"/>
  <c r="O90" i="86"/>
  <c r="O89" i="86"/>
  <c r="O88" i="86"/>
  <c r="O87" i="86"/>
  <c r="O86" i="86"/>
  <c r="O85" i="86"/>
  <c r="O84" i="86"/>
  <c r="O83" i="86"/>
  <c r="O82" i="86"/>
  <c r="O81" i="86"/>
  <c r="O80" i="86"/>
  <c r="O79" i="86"/>
  <c r="O78" i="86"/>
  <c r="O77" i="86"/>
  <c r="O76" i="86"/>
  <c r="O75" i="86"/>
  <c r="O74" i="86"/>
  <c r="O73" i="86"/>
  <c r="O72" i="86"/>
  <c r="O71" i="86"/>
  <c r="O70" i="86"/>
  <c r="O69" i="86"/>
  <c r="O68" i="86"/>
  <c r="O67" i="86"/>
  <c r="O66" i="86"/>
  <c r="O65" i="86"/>
  <c r="O64" i="86"/>
  <c r="O63" i="86"/>
  <c r="O62" i="86"/>
  <c r="O61" i="86"/>
  <c r="O60" i="86"/>
  <c r="O59" i="86"/>
  <c r="O58" i="86"/>
  <c r="O57" i="86"/>
  <c r="O56" i="86"/>
  <c r="O55" i="86"/>
  <c r="O54" i="86"/>
  <c r="O53" i="86"/>
  <c r="O52" i="86"/>
  <c r="O51" i="86"/>
  <c r="O50" i="86"/>
  <c r="O49" i="86"/>
  <c r="O48" i="86"/>
  <c r="O47" i="86"/>
  <c r="O46" i="86"/>
  <c r="O45" i="86"/>
  <c r="O44" i="86"/>
  <c r="O43" i="86"/>
  <c r="O42" i="86"/>
  <c r="O41" i="86"/>
  <c r="O40" i="86"/>
  <c r="O39" i="86"/>
  <c r="O38" i="86"/>
  <c r="O37" i="86"/>
  <c r="O36" i="86"/>
  <c r="O35" i="86"/>
  <c r="O34" i="86"/>
  <c r="O33" i="86"/>
  <c r="O32" i="86"/>
  <c r="O31" i="86"/>
  <c r="O30" i="86"/>
  <c r="O29" i="86"/>
  <c r="O28" i="86"/>
  <c r="O27" i="86"/>
  <c r="E27" i="86"/>
  <c r="O26" i="86"/>
  <c r="E26" i="86"/>
  <c r="O25" i="86"/>
  <c r="F25" i="86"/>
  <c r="O24" i="86"/>
  <c r="O23" i="86"/>
  <c r="O22" i="86"/>
  <c r="O21" i="86"/>
  <c r="O20" i="86"/>
  <c r="O19" i="86"/>
  <c r="O18" i="86"/>
  <c r="O17" i="86"/>
  <c r="B17" i="86"/>
  <c r="O16" i="86"/>
  <c r="B16" i="86"/>
  <c r="O15" i="86"/>
  <c r="O14" i="86"/>
  <c r="O13" i="86"/>
  <c r="O12" i="86"/>
  <c r="B12" i="86"/>
  <c r="U11" i="86" s="1"/>
  <c r="V11" i="86" s="1"/>
  <c r="O11" i="86"/>
  <c r="B11" i="86"/>
  <c r="B37" i="86" s="1"/>
  <c r="O10" i="86"/>
  <c r="B10" i="86"/>
  <c r="O9" i="86"/>
  <c r="B9" i="86"/>
  <c r="O8" i="86"/>
  <c r="O7" i="86"/>
  <c r="O6" i="86"/>
  <c r="O5" i="86"/>
  <c r="O4" i="86"/>
  <c r="O3" i="86"/>
  <c r="G123" i="45"/>
  <c r="G122" i="45"/>
  <c r="G120" i="45"/>
  <c r="G119" i="45"/>
  <c r="G118" i="45"/>
  <c r="O252" i="45"/>
  <c r="O251" i="45"/>
  <c r="O250" i="45"/>
  <c r="O249" i="45"/>
  <c r="O248" i="45"/>
  <c r="O247" i="45"/>
  <c r="O246" i="45"/>
  <c r="O245" i="45"/>
  <c r="O244" i="45"/>
  <c r="O243" i="45"/>
  <c r="O242" i="45"/>
  <c r="O241" i="45"/>
  <c r="O240" i="45"/>
  <c r="O239" i="45"/>
  <c r="O238" i="45"/>
  <c r="O237" i="45"/>
  <c r="O236" i="45"/>
  <c r="O235" i="45"/>
  <c r="O234" i="45"/>
  <c r="O233" i="45"/>
  <c r="O232" i="45"/>
  <c r="O231" i="45"/>
  <c r="O230" i="45"/>
  <c r="O229" i="45"/>
  <c r="O228" i="45"/>
  <c r="O227" i="45"/>
  <c r="O226" i="45"/>
  <c r="O225" i="45"/>
  <c r="O224" i="45"/>
  <c r="O223" i="45"/>
  <c r="O222" i="45"/>
  <c r="O221" i="45"/>
  <c r="O220" i="45"/>
  <c r="O219" i="45"/>
  <c r="O218" i="45"/>
  <c r="O217" i="45"/>
  <c r="O216" i="45"/>
  <c r="O215" i="45"/>
  <c r="O214" i="45"/>
  <c r="O213" i="45"/>
  <c r="O212" i="45"/>
  <c r="O211" i="45"/>
  <c r="O210" i="45"/>
  <c r="O209" i="45"/>
  <c r="O208" i="45"/>
  <c r="O207" i="45"/>
  <c r="O206" i="45"/>
  <c r="O205" i="45"/>
  <c r="O204" i="45"/>
  <c r="O203" i="45"/>
  <c r="O202" i="45"/>
  <c r="O201" i="45"/>
  <c r="O200" i="45"/>
  <c r="O199" i="45"/>
  <c r="O198" i="45"/>
  <c r="O197" i="45"/>
  <c r="O196" i="45"/>
  <c r="O195" i="45"/>
  <c r="O194" i="45"/>
  <c r="O193" i="45"/>
  <c r="O192" i="45"/>
  <c r="O191" i="45"/>
  <c r="O190" i="45"/>
  <c r="O189" i="45"/>
  <c r="O188" i="45"/>
  <c r="O187" i="45"/>
  <c r="O186" i="45"/>
  <c r="O185" i="45"/>
  <c r="O184" i="45"/>
  <c r="O183" i="45"/>
  <c r="O182" i="45"/>
  <c r="O181" i="45"/>
  <c r="O180" i="45"/>
  <c r="O179" i="45"/>
  <c r="O178" i="45"/>
  <c r="O177" i="45"/>
  <c r="O176" i="45"/>
  <c r="O175" i="45"/>
  <c r="O174" i="45"/>
  <c r="O173" i="45"/>
  <c r="O172" i="45"/>
  <c r="O171" i="45"/>
  <c r="O170" i="45"/>
  <c r="O169" i="45"/>
  <c r="O168" i="45"/>
  <c r="O167" i="45"/>
  <c r="O166" i="45"/>
  <c r="O165" i="45"/>
  <c r="O164" i="45"/>
  <c r="O163" i="45"/>
  <c r="O162" i="45"/>
  <c r="O161" i="45"/>
  <c r="O160" i="45"/>
  <c r="O159" i="45"/>
  <c r="O158" i="45"/>
  <c r="O157" i="45"/>
  <c r="O156" i="45"/>
  <c r="O155" i="45"/>
  <c r="O154" i="45"/>
  <c r="O153" i="45"/>
  <c r="O152" i="45"/>
  <c r="O151" i="45"/>
  <c r="O150" i="45"/>
  <c r="O149" i="45"/>
  <c r="O148" i="45"/>
  <c r="O147" i="45"/>
  <c r="O146" i="45"/>
  <c r="O145" i="45"/>
  <c r="O144" i="45"/>
  <c r="O143" i="45"/>
  <c r="O142" i="45"/>
  <c r="O141" i="45"/>
  <c r="O140" i="45"/>
  <c r="O139" i="45"/>
  <c r="O138" i="45"/>
  <c r="O137" i="45"/>
  <c r="O136" i="45"/>
  <c r="O135" i="45"/>
  <c r="O134" i="45"/>
  <c r="O133" i="45"/>
  <c r="O132" i="45"/>
  <c r="O131" i="45"/>
  <c r="O130" i="45"/>
  <c r="O129" i="45"/>
  <c r="O128" i="45"/>
  <c r="O127" i="45"/>
  <c r="O126" i="45"/>
  <c r="O125" i="45"/>
  <c r="O124" i="45"/>
  <c r="O123" i="45"/>
  <c r="O122" i="45"/>
  <c r="O121" i="45"/>
  <c r="O120" i="45"/>
  <c r="O119" i="45"/>
  <c r="O118" i="45"/>
  <c r="O117" i="45"/>
  <c r="O116" i="45"/>
  <c r="O115" i="45"/>
  <c r="O114" i="45"/>
  <c r="O113" i="45"/>
  <c r="O112" i="45"/>
  <c r="O111" i="45"/>
  <c r="O110" i="45"/>
  <c r="O109" i="45"/>
  <c r="O108" i="45"/>
  <c r="O107" i="45"/>
  <c r="O106" i="45"/>
  <c r="O105" i="45"/>
  <c r="O104" i="45"/>
  <c r="O103" i="45"/>
  <c r="O102" i="45"/>
  <c r="O101" i="45"/>
  <c r="O100" i="45"/>
  <c r="O99" i="45"/>
  <c r="O98" i="45"/>
  <c r="O97" i="45"/>
  <c r="O96" i="45"/>
  <c r="O95" i="45"/>
  <c r="O94" i="45"/>
  <c r="O93" i="45"/>
  <c r="O92" i="45"/>
  <c r="O91" i="45"/>
  <c r="O90" i="45"/>
  <c r="O89" i="45"/>
  <c r="O88" i="45"/>
  <c r="O87" i="45"/>
  <c r="O86" i="45"/>
  <c r="O85" i="45"/>
  <c r="O84" i="45"/>
  <c r="O83" i="45"/>
  <c r="O82" i="45"/>
  <c r="O81" i="45"/>
  <c r="O80" i="45"/>
  <c r="O79" i="45"/>
  <c r="O78" i="45"/>
  <c r="O77" i="45"/>
  <c r="O76" i="45"/>
  <c r="O75" i="45"/>
  <c r="O74" i="45"/>
  <c r="O73" i="45"/>
  <c r="O72" i="45"/>
  <c r="O71" i="45"/>
  <c r="O70" i="45"/>
  <c r="O69" i="45"/>
  <c r="O68" i="45"/>
  <c r="O67" i="45"/>
  <c r="O66" i="45"/>
  <c r="O65" i="45"/>
  <c r="O64" i="45"/>
  <c r="O63" i="45"/>
  <c r="O62" i="45"/>
  <c r="O61" i="45"/>
  <c r="O60" i="45"/>
  <c r="O59" i="45"/>
  <c r="O58" i="45"/>
  <c r="O57" i="45"/>
  <c r="O56" i="45"/>
  <c r="O55" i="45"/>
  <c r="O54" i="45"/>
  <c r="O53" i="45"/>
  <c r="O52" i="45"/>
  <c r="O51" i="45"/>
  <c r="O50" i="45"/>
  <c r="O49" i="45"/>
  <c r="O48" i="45"/>
  <c r="O47" i="45"/>
  <c r="O46" i="45"/>
  <c r="O45" i="45"/>
  <c r="O44" i="45"/>
  <c r="O43" i="45"/>
  <c r="O42" i="45"/>
  <c r="O41" i="45"/>
  <c r="O40" i="45"/>
  <c r="O39" i="45"/>
  <c r="O38" i="45"/>
  <c r="O37" i="45"/>
  <c r="O36" i="45"/>
  <c r="O35" i="45"/>
  <c r="O34" i="45"/>
  <c r="O33" i="45"/>
  <c r="O32" i="45"/>
  <c r="O31" i="45"/>
  <c r="O30" i="45"/>
  <c r="O29" i="45"/>
  <c r="O28" i="45"/>
  <c r="O27" i="45"/>
  <c r="O26" i="45"/>
  <c r="O25" i="45"/>
  <c r="O24" i="45"/>
  <c r="O23" i="45"/>
  <c r="O22" i="45"/>
  <c r="O21" i="45"/>
  <c r="O20" i="45"/>
  <c r="O19" i="45"/>
  <c r="O18" i="45"/>
  <c r="O17" i="45"/>
  <c r="O16" i="45"/>
  <c r="O15" i="45"/>
  <c r="O14" i="45"/>
  <c r="O13" i="45"/>
  <c r="O12" i="45"/>
  <c r="O11" i="45"/>
  <c r="O10" i="45"/>
  <c r="O9" i="45"/>
  <c r="O8" i="45"/>
  <c r="O7" i="45"/>
  <c r="O6" i="45"/>
  <c r="O5" i="45"/>
  <c r="O4" i="45"/>
  <c r="O3" i="45"/>
  <c r="B17" i="45"/>
  <c r="B16" i="45"/>
  <c r="B12" i="45"/>
  <c r="U11" i="45" s="1"/>
  <c r="V11" i="45" s="1"/>
  <c r="B11" i="45"/>
  <c r="B37" i="45" s="1"/>
  <c r="B10" i="45"/>
  <c r="B9" i="45"/>
  <c r="J120" i="45" s="1"/>
  <c r="G123" i="44"/>
  <c r="G122" i="44"/>
  <c r="G120" i="44"/>
  <c r="G119" i="44"/>
  <c r="G118" i="44"/>
  <c r="B19" i="88" l="1"/>
  <c r="F28" i="96"/>
  <c r="C21" i="102"/>
  <c r="U7" i="102" s="1"/>
  <c r="V7" i="102" s="1"/>
  <c r="E31" i="106"/>
  <c r="F27" i="111"/>
  <c r="E30" i="86"/>
  <c r="E31" i="87"/>
  <c r="E31" i="88"/>
  <c r="F28" i="89"/>
  <c r="F84" i="96"/>
  <c r="G84" i="96" s="1"/>
  <c r="C22" i="99"/>
  <c r="E30" i="100"/>
  <c r="B21" i="108"/>
  <c r="E31" i="109"/>
  <c r="E30" i="110"/>
  <c r="F28" i="111"/>
  <c r="E31" i="112"/>
  <c r="B36" i="116"/>
  <c r="U14" i="116" s="1"/>
  <c r="F28" i="116"/>
  <c r="E31" i="117"/>
  <c r="F28" i="118"/>
  <c r="E31" i="119"/>
  <c r="F28" i="119"/>
  <c r="B36" i="98"/>
  <c r="E31" i="99"/>
  <c r="B36" i="100"/>
  <c r="F65" i="100"/>
  <c r="G65" i="100" s="1"/>
  <c r="E30" i="105"/>
  <c r="F27" i="108"/>
  <c r="B22" i="110"/>
  <c r="H57" i="110" s="1"/>
  <c r="B22" i="118"/>
  <c r="B19" i="110"/>
  <c r="B36" i="109"/>
  <c r="F106" i="89"/>
  <c r="G106" i="89" s="1"/>
  <c r="B36" i="89"/>
  <c r="F110" i="89"/>
  <c r="G110" i="89" s="1"/>
  <c r="C22" i="89"/>
  <c r="U9" i="89" s="1"/>
  <c r="V9" i="89" s="1"/>
  <c r="B36" i="87"/>
  <c r="F104" i="45"/>
  <c r="G104" i="45" s="1"/>
  <c r="B26" i="120"/>
  <c r="B27" i="122"/>
  <c r="B28" i="122"/>
  <c r="B26" i="122"/>
  <c r="B29" i="122"/>
  <c r="B27" i="121"/>
  <c r="B28" i="121"/>
  <c r="B26" i="121"/>
  <c r="B29" i="121"/>
  <c r="B27" i="120"/>
  <c r="B28" i="120"/>
  <c r="B29" i="120"/>
  <c r="F99" i="97"/>
  <c r="G99" i="97" s="1"/>
  <c r="F92" i="97"/>
  <c r="G92" i="97" s="1"/>
  <c r="F106" i="97"/>
  <c r="G106" i="97" s="1"/>
  <c r="F68" i="95"/>
  <c r="G68" i="95" s="1"/>
  <c r="B36" i="95"/>
  <c r="U14" i="95" s="1"/>
  <c r="B21" i="119"/>
  <c r="B36" i="119"/>
  <c r="U14" i="119" s="1"/>
  <c r="H57" i="119"/>
  <c r="U5" i="119"/>
  <c r="V5" i="119" s="1"/>
  <c r="R25" i="119"/>
  <c r="B20" i="119"/>
  <c r="B19" i="119"/>
  <c r="B36" i="118"/>
  <c r="U14" i="118" s="1"/>
  <c r="B21" i="118"/>
  <c r="F57" i="118" s="1"/>
  <c r="H57" i="118"/>
  <c r="U5" i="118"/>
  <c r="V5" i="118" s="1"/>
  <c r="R27" i="118"/>
  <c r="B30" i="118" s="1"/>
  <c r="B20" i="118"/>
  <c r="B19" i="118"/>
  <c r="C22" i="118"/>
  <c r="B19" i="117"/>
  <c r="R25" i="117"/>
  <c r="B22" i="117"/>
  <c r="B20" i="116"/>
  <c r="F68" i="116"/>
  <c r="G68" i="116" s="1"/>
  <c r="B37" i="116"/>
  <c r="B38" i="116" s="1"/>
  <c r="R27" i="116"/>
  <c r="B30" i="116" s="1"/>
  <c r="B19" i="116"/>
  <c r="B19" i="115"/>
  <c r="B36" i="115"/>
  <c r="U14" i="115" s="1"/>
  <c r="B21" i="115"/>
  <c r="R25" i="113"/>
  <c r="B36" i="113"/>
  <c r="B38" i="113" s="1"/>
  <c r="I58" i="112"/>
  <c r="U9" i="112"/>
  <c r="V9" i="112" s="1"/>
  <c r="B36" i="112"/>
  <c r="B20" i="112"/>
  <c r="R27" i="112"/>
  <c r="B30" i="112" s="1"/>
  <c r="B21" i="112"/>
  <c r="U3" i="112" s="1"/>
  <c r="V3" i="112" s="1"/>
  <c r="B36" i="111"/>
  <c r="B38" i="111" s="1"/>
  <c r="B19" i="111"/>
  <c r="R27" i="111"/>
  <c r="B30" i="111" s="1"/>
  <c r="B36" i="110"/>
  <c r="U14" i="110" s="1"/>
  <c r="R25" i="110"/>
  <c r="U5" i="110"/>
  <c r="V5" i="110" s="1"/>
  <c r="B21" i="110"/>
  <c r="F58" i="110" s="1"/>
  <c r="B20" i="109"/>
  <c r="R25" i="109"/>
  <c r="F64" i="109"/>
  <c r="G64" i="109" s="1"/>
  <c r="R27" i="108"/>
  <c r="B30" i="108" s="1"/>
  <c r="R25" i="108"/>
  <c r="B36" i="108"/>
  <c r="B38" i="108" s="1"/>
  <c r="F96" i="107"/>
  <c r="G96" i="107" s="1"/>
  <c r="C22" i="107"/>
  <c r="F66" i="107"/>
  <c r="G66" i="107" s="1"/>
  <c r="B36" i="107"/>
  <c r="R26" i="107"/>
  <c r="R27" i="106"/>
  <c r="B30" i="106" s="1"/>
  <c r="B19" i="106"/>
  <c r="B36" i="106"/>
  <c r="B21" i="106"/>
  <c r="F58" i="106" s="1"/>
  <c r="B21" i="105"/>
  <c r="F93" i="105"/>
  <c r="G93" i="105" s="1"/>
  <c r="B38" i="105"/>
  <c r="X14" i="105" s="1"/>
  <c r="R27" i="105"/>
  <c r="B30" i="105" s="1"/>
  <c r="B22" i="104"/>
  <c r="U5" i="104" s="1"/>
  <c r="V5" i="104" s="1"/>
  <c r="F65" i="104"/>
  <c r="G65" i="104" s="1"/>
  <c r="R27" i="104"/>
  <c r="B30" i="104" s="1"/>
  <c r="B36" i="104"/>
  <c r="U14" i="104" s="1"/>
  <c r="B19" i="104"/>
  <c r="B37" i="104"/>
  <c r="R27" i="102"/>
  <c r="B30" i="102" s="1"/>
  <c r="B36" i="102"/>
  <c r="B38" i="102" s="1"/>
  <c r="F64" i="102"/>
  <c r="G64" i="102" s="1"/>
  <c r="C21" i="101"/>
  <c r="G58" i="101" s="1"/>
  <c r="F71" i="101"/>
  <c r="G71" i="101" s="1"/>
  <c r="F76" i="101"/>
  <c r="G76" i="101" s="1"/>
  <c r="F87" i="101"/>
  <c r="G87" i="101" s="1"/>
  <c r="B36" i="101"/>
  <c r="R26" i="101"/>
  <c r="B20" i="101"/>
  <c r="F74" i="101"/>
  <c r="G74" i="101" s="1"/>
  <c r="F95" i="101"/>
  <c r="G95" i="101" s="1"/>
  <c r="F106" i="101"/>
  <c r="G106" i="101" s="1"/>
  <c r="B38" i="100"/>
  <c r="U36" i="100" s="1"/>
  <c r="B22" i="100"/>
  <c r="C22" i="100"/>
  <c r="I58" i="100" s="1"/>
  <c r="R26" i="100"/>
  <c r="B27" i="100" s="1"/>
  <c r="R27" i="99"/>
  <c r="B30" i="99" s="1"/>
  <c r="B19" i="99"/>
  <c r="B36" i="99"/>
  <c r="U14" i="99" s="1"/>
  <c r="B22" i="99"/>
  <c r="U5" i="99" s="1"/>
  <c r="V5" i="99" s="1"/>
  <c r="F64" i="98"/>
  <c r="G64" i="98" s="1"/>
  <c r="C21" i="98"/>
  <c r="F108" i="97"/>
  <c r="G108" i="97" s="1"/>
  <c r="B20" i="97"/>
  <c r="F63" i="97"/>
  <c r="G63" i="97" s="1"/>
  <c r="F104" i="97"/>
  <c r="G104" i="97" s="1"/>
  <c r="F112" i="97"/>
  <c r="G112" i="97" s="1"/>
  <c r="R25" i="97"/>
  <c r="F67" i="97"/>
  <c r="G67" i="97" s="1"/>
  <c r="F110" i="97"/>
  <c r="G110" i="97" s="1"/>
  <c r="B19" i="96"/>
  <c r="R26" i="96"/>
  <c r="B38" i="96"/>
  <c r="X14" i="96" s="1"/>
  <c r="B20" i="93"/>
  <c r="R25" i="93"/>
  <c r="B21" i="93"/>
  <c r="B36" i="92"/>
  <c r="B38" i="92" s="1"/>
  <c r="B22" i="92"/>
  <c r="B23" i="92" s="1"/>
  <c r="R25" i="92"/>
  <c r="B19" i="92"/>
  <c r="B36" i="90"/>
  <c r="B38" i="90" s="1"/>
  <c r="R26" i="95"/>
  <c r="F88" i="95"/>
  <c r="G88" i="95" s="1"/>
  <c r="B20" i="95"/>
  <c r="B19" i="95"/>
  <c r="R25" i="89"/>
  <c r="F97" i="89"/>
  <c r="G97" i="89" s="1"/>
  <c r="B37" i="89"/>
  <c r="F82" i="89"/>
  <c r="G82" i="89" s="1"/>
  <c r="F112" i="89"/>
  <c r="G112" i="89" s="1"/>
  <c r="F66" i="89"/>
  <c r="G66" i="89" s="1"/>
  <c r="F98" i="89"/>
  <c r="G98" i="89" s="1"/>
  <c r="F108" i="89"/>
  <c r="G108" i="89" s="1"/>
  <c r="B20" i="88"/>
  <c r="R25" i="88"/>
  <c r="B22" i="88"/>
  <c r="H57" i="88" s="1"/>
  <c r="B21" i="87"/>
  <c r="U3" i="87" s="1"/>
  <c r="V3" i="87" s="1"/>
  <c r="B36" i="86"/>
  <c r="F58" i="119"/>
  <c r="F57" i="119"/>
  <c r="U3" i="119"/>
  <c r="V3" i="119" s="1"/>
  <c r="I120" i="119"/>
  <c r="J120" i="119"/>
  <c r="B13" i="119" s="1"/>
  <c r="F113" i="119"/>
  <c r="G113" i="119" s="1"/>
  <c r="F109" i="119"/>
  <c r="G109" i="119" s="1"/>
  <c r="F105" i="119"/>
  <c r="G105" i="119" s="1"/>
  <c r="F101" i="119"/>
  <c r="G101" i="119" s="1"/>
  <c r="F95" i="119"/>
  <c r="G95" i="119" s="1"/>
  <c r="F91" i="119"/>
  <c r="G91" i="119" s="1"/>
  <c r="F87" i="119"/>
  <c r="G87" i="119" s="1"/>
  <c r="F83" i="119"/>
  <c r="G83" i="119" s="1"/>
  <c r="F79" i="119"/>
  <c r="G79" i="119" s="1"/>
  <c r="F75" i="119"/>
  <c r="G75" i="119" s="1"/>
  <c r="F71" i="119"/>
  <c r="G71" i="119" s="1"/>
  <c r="F111" i="119"/>
  <c r="G111" i="119" s="1"/>
  <c r="F107" i="119"/>
  <c r="G107" i="119" s="1"/>
  <c r="F103" i="119"/>
  <c r="G103" i="119" s="1"/>
  <c r="F99" i="119"/>
  <c r="G99" i="119" s="1"/>
  <c r="F97" i="119"/>
  <c r="G97" i="119" s="1"/>
  <c r="F93" i="119"/>
  <c r="G93" i="119" s="1"/>
  <c r="F112" i="119"/>
  <c r="G112" i="119" s="1"/>
  <c r="F108" i="119"/>
  <c r="G108" i="119" s="1"/>
  <c r="F104" i="119"/>
  <c r="G104" i="119" s="1"/>
  <c r="F100" i="119"/>
  <c r="G100" i="119" s="1"/>
  <c r="F96" i="119"/>
  <c r="G96" i="119" s="1"/>
  <c r="F92" i="119"/>
  <c r="G92" i="119" s="1"/>
  <c r="F88" i="119"/>
  <c r="G88" i="119" s="1"/>
  <c r="F90" i="119"/>
  <c r="G90" i="119" s="1"/>
  <c r="F86" i="119"/>
  <c r="G86" i="119" s="1"/>
  <c r="F84" i="119"/>
  <c r="G84" i="119" s="1"/>
  <c r="F80" i="119"/>
  <c r="G80" i="119" s="1"/>
  <c r="F76" i="119"/>
  <c r="G76" i="119" s="1"/>
  <c r="F72" i="119"/>
  <c r="G72" i="119" s="1"/>
  <c r="F68" i="119"/>
  <c r="G68" i="119" s="1"/>
  <c r="F67" i="119"/>
  <c r="G67" i="119" s="1"/>
  <c r="F63" i="119"/>
  <c r="G63" i="119" s="1"/>
  <c r="F110" i="119"/>
  <c r="G110" i="119" s="1"/>
  <c r="F102" i="119"/>
  <c r="G102" i="119" s="1"/>
  <c r="F82" i="119"/>
  <c r="G82" i="119" s="1"/>
  <c r="F81" i="119"/>
  <c r="G81" i="119" s="1"/>
  <c r="F78" i="119"/>
  <c r="G78" i="119" s="1"/>
  <c r="F77" i="119"/>
  <c r="G77" i="119" s="1"/>
  <c r="F74" i="119"/>
  <c r="G74" i="119" s="1"/>
  <c r="F73" i="119"/>
  <c r="G73" i="119" s="1"/>
  <c r="F70" i="119"/>
  <c r="G70" i="119" s="1"/>
  <c r="F69" i="119"/>
  <c r="G69" i="119" s="1"/>
  <c r="F66" i="119"/>
  <c r="G66" i="119" s="1"/>
  <c r="C22" i="119"/>
  <c r="F89" i="119"/>
  <c r="G89" i="119" s="1"/>
  <c r="F85" i="119"/>
  <c r="G85" i="119" s="1"/>
  <c r="F106" i="119"/>
  <c r="G106" i="119" s="1"/>
  <c r="F98" i="119"/>
  <c r="G98" i="119" s="1"/>
  <c r="F94" i="119"/>
  <c r="G94" i="119" s="1"/>
  <c r="B18" i="119"/>
  <c r="C21" i="119"/>
  <c r="B37" i="119"/>
  <c r="B38" i="119" s="1"/>
  <c r="U28" i="119" s="1"/>
  <c r="H58" i="119"/>
  <c r="F64" i="119"/>
  <c r="G64" i="119" s="1"/>
  <c r="B23" i="119"/>
  <c r="R27" i="119"/>
  <c r="B30" i="119" s="1"/>
  <c r="U16" i="119"/>
  <c r="F65" i="119"/>
  <c r="G65" i="119" s="1"/>
  <c r="R26" i="119"/>
  <c r="J123" i="119"/>
  <c r="J122" i="119"/>
  <c r="I122" i="119"/>
  <c r="F27" i="119"/>
  <c r="E30" i="119"/>
  <c r="F58" i="118"/>
  <c r="I58" i="118"/>
  <c r="U9" i="118"/>
  <c r="V9" i="118" s="1"/>
  <c r="I57" i="118"/>
  <c r="H58" i="118"/>
  <c r="R25" i="118"/>
  <c r="F27" i="118"/>
  <c r="E30" i="118"/>
  <c r="B23" i="118"/>
  <c r="I120" i="118"/>
  <c r="I123" i="118" s="1"/>
  <c r="J120" i="118"/>
  <c r="F113" i="118"/>
  <c r="G113" i="118" s="1"/>
  <c r="F109" i="118"/>
  <c r="G109" i="118" s="1"/>
  <c r="F105" i="118"/>
  <c r="G105" i="118" s="1"/>
  <c r="F101" i="118"/>
  <c r="G101" i="118" s="1"/>
  <c r="F95" i="118"/>
  <c r="G95" i="118" s="1"/>
  <c r="F91" i="118"/>
  <c r="G91" i="118" s="1"/>
  <c r="F87" i="118"/>
  <c r="G87" i="118" s="1"/>
  <c r="F83" i="118"/>
  <c r="G83" i="118" s="1"/>
  <c r="F79" i="118"/>
  <c r="G79" i="118" s="1"/>
  <c r="F75" i="118"/>
  <c r="G75" i="118" s="1"/>
  <c r="F71" i="118"/>
  <c r="G71" i="118" s="1"/>
  <c r="F111" i="118"/>
  <c r="G111" i="118" s="1"/>
  <c r="F107" i="118"/>
  <c r="G107" i="118" s="1"/>
  <c r="F103" i="118"/>
  <c r="G103" i="118" s="1"/>
  <c r="F99" i="118"/>
  <c r="G99" i="118" s="1"/>
  <c r="F97" i="118"/>
  <c r="G97" i="118" s="1"/>
  <c r="F94" i="118"/>
  <c r="G94" i="118" s="1"/>
  <c r="F93" i="118"/>
  <c r="G93" i="118" s="1"/>
  <c r="F90" i="118"/>
  <c r="G90" i="118" s="1"/>
  <c r="F89" i="118"/>
  <c r="G89" i="118" s="1"/>
  <c r="F86" i="118"/>
  <c r="G86" i="118" s="1"/>
  <c r="F85" i="118"/>
  <c r="G85" i="118" s="1"/>
  <c r="F82" i="118"/>
  <c r="G82" i="118" s="1"/>
  <c r="F81" i="118"/>
  <c r="G81" i="118" s="1"/>
  <c r="F78" i="118"/>
  <c r="G78" i="118" s="1"/>
  <c r="F77" i="118"/>
  <c r="G77" i="118" s="1"/>
  <c r="F74" i="118"/>
  <c r="G74" i="118" s="1"/>
  <c r="F73" i="118"/>
  <c r="G73" i="118" s="1"/>
  <c r="F70" i="118"/>
  <c r="G70" i="118" s="1"/>
  <c r="F69" i="118"/>
  <c r="G69" i="118" s="1"/>
  <c r="F66" i="118"/>
  <c r="G66" i="118" s="1"/>
  <c r="F96" i="118"/>
  <c r="G96" i="118" s="1"/>
  <c r="F65" i="118"/>
  <c r="G65" i="118" s="1"/>
  <c r="F112" i="118"/>
  <c r="G112" i="118" s="1"/>
  <c r="F110" i="118"/>
  <c r="G110" i="118" s="1"/>
  <c r="F108" i="118"/>
  <c r="G108" i="118" s="1"/>
  <c r="F106" i="118"/>
  <c r="G106" i="118" s="1"/>
  <c r="F104" i="118"/>
  <c r="G104" i="118" s="1"/>
  <c r="F102" i="118"/>
  <c r="G102" i="118" s="1"/>
  <c r="F100" i="118"/>
  <c r="G100" i="118" s="1"/>
  <c r="F98" i="118"/>
  <c r="G98" i="118" s="1"/>
  <c r="F92" i="118"/>
  <c r="G92" i="118" s="1"/>
  <c r="F88" i="118"/>
  <c r="G88" i="118" s="1"/>
  <c r="F84" i="118"/>
  <c r="G84" i="118" s="1"/>
  <c r="F80" i="118"/>
  <c r="G80" i="118" s="1"/>
  <c r="F76" i="118"/>
  <c r="G76" i="118" s="1"/>
  <c r="F72" i="118"/>
  <c r="G72" i="118" s="1"/>
  <c r="F68" i="118"/>
  <c r="G68" i="118" s="1"/>
  <c r="F67" i="118"/>
  <c r="G67" i="118" s="1"/>
  <c r="F63" i="118"/>
  <c r="G63" i="118" s="1"/>
  <c r="B18" i="118"/>
  <c r="C21" i="118"/>
  <c r="R26" i="118"/>
  <c r="F64" i="118"/>
  <c r="G64" i="118" s="1"/>
  <c r="J123" i="118"/>
  <c r="J122" i="118"/>
  <c r="B38" i="117"/>
  <c r="X14" i="117" s="1"/>
  <c r="H58" i="117"/>
  <c r="U5" i="117"/>
  <c r="V5" i="117" s="1"/>
  <c r="H57" i="117"/>
  <c r="B23" i="117"/>
  <c r="U35" i="117"/>
  <c r="U14" i="117"/>
  <c r="U38" i="117"/>
  <c r="U39" i="117"/>
  <c r="B21" i="117"/>
  <c r="F63" i="117"/>
  <c r="G63" i="117" s="1"/>
  <c r="F103" i="117"/>
  <c r="G103" i="117" s="1"/>
  <c r="F106" i="117"/>
  <c r="G106" i="117" s="1"/>
  <c r="I120" i="117"/>
  <c r="J120" i="117"/>
  <c r="B13" i="117" s="1"/>
  <c r="F113" i="117"/>
  <c r="G113" i="117" s="1"/>
  <c r="F109" i="117"/>
  <c r="G109" i="117" s="1"/>
  <c r="F105" i="117"/>
  <c r="G105" i="117" s="1"/>
  <c r="F101" i="117"/>
  <c r="G101" i="117" s="1"/>
  <c r="F95" i="117"/>
  <c r="G95" i="117" s="1"/>
  <c r="F91" i="117"/>
  <c r="G91" i="117" s="1"/>
  <c r="F87" i="117"/>
  <c r="G87" i="117" s="1"/>
  <c r="F83" i="117"/>
  <c r="G83" i="117" s="1"/>
  <c r="F79" i="117"/>
  <c r="G79" i="117" s="1"/>
  <c r="F75" i="117"/>
  <c r="G75" i="117" s="1"/>
  <c r="F71" i="117"/>
  <c r="G71" i="117" s="1"/>
  <c r="F111" i="117"/>
  <c r="G111" i="117" s="1"/>
  <c r="F107" i="117"/>
  <c r="G107" i="117" s="1"/>
  <c r="F112" i="117"/>
  <c r="G112" i="117" s="1"/>
  <c r="F108" i="117"/>
  <c r="G108" i="117" s="1"/>
  <c r="F104" i="117"/>
  <c r="G104" i="117" s="1"/>
  <c r="F100" i="117"/>
  <c r="G100" i="117" s="1"/>
  <c r="F98" i="117"/>
  <c r="G98" i="117" s="1"/>
  <c r="F97" i="117"/>
  <c r="G97" i="117" s="1"/>
  <c r="F94" i="117"/>
  <c r="G94" i="117" s="1"/>
  <c r="F93" i="117"/>
  <c r="G93" i="117" s="1"/>
  <c r="F90" i="117"/>
  <c r="G90" i="117" s="1"/>
  <c r="F89" i="117"/>
  <c r="G89" i="117" s="1"/>
  <c r="F86" i="117"/>
  <c r="G86" i="117" s="1"/>
  <c r="F85" i="117"/>
  <c r="G85" i="117" s="1"/>
  <c r="F82" i="117"/>
  <c r="G82" i="117" s="1"/>
  <c r="F81" i="117"/>
  <c r="G81" i="117" s="1"/>
  <c r="F78" i="117"/>
  <c r="G78" i="117" s="1"/>
  <c r="F77" i="117"/>
  <c r="G77" i="117" s="1"/>
  <c r="F74" i="117"/>
  <c r="G74" i="117" s="1"/>
  <c r="F73" i="117"/>
  <c r="G73" i="117" s="1"/>
  <c r="F70" i="117"/>
  <c r="G70" i="117" s="1"/>
  <c r="F69" i="117"/>
  <c r="G69" i="117" s="1"/>
  <c r="F66" i="117"/>
  <c r="G66" i="117" s="1"/>
  <c r="F110" i="117"/>
  <c r="G110" i="117" s="1"/>
  <c r="F64" i="117"/>
  <c r="G64" i="117" s="1"/>
  <c r="B18" i="117"/>
  <c r="C21" i="117"/>
  <c r="R26" i="117"/>
  <c r="R27" i="117"/>
  <c r="B30" i="117" s="1"/>
  <c r="F65" i="117"/>
  <c r="G65" i="117" s="1"/>
  <c r="F67" i="117"/>
  <c r="G67" i="117" s="1"/>
  <c r="F68" i="117"/>
  <c r="G68" i="117" s="1"/>
  <c r="F72" i="117"/>
  <c r="G72" i="117" s="1"/>
  <c r="F76" i="117"/>
  <c r="G76" i="117" s="1"/>
  <c r="F80" i="117"/>
  <c r="G80" i="117" s="1"/>
  <c r="F84" i="117"/>
  <c r="G84" i="117" s="1"/>
  <c r="F88" i="117"/>
  <c r="G88" i="117" s="1"/>
  <c r="F92" i="117"/>
  <c r="G92" i="117" s="1"/>
  <c r="F99" i="117"/>
  <c r="G99" i="117" s="1"/>
  <c r="F102" i="117"/>
  <c r="G102" i="117" s="1"/>
  <c r="B20" i="117"/>
  <c r="C22" i="117"/>
  <c r="F27" i="117"/>
  <c r="E30" i="117"/>
  <c r="F96" i="117"/>
  <c r="G96" i="117" s="1"/>
  <c r="J122" i="117"/>
  <c r="U5" i="116"/>
  <c r="V5" i="116" s="1"/>
  <c r="H57" i="116"/>
  <c r="B23" i="116"/>
  <c r="H58" i="116"/>
  <c r="U34" i="116"/>
  <c r="U23" i="116"/>
  <c r="U17" i="116"/>
  <c r="U33" i="116"/>
  <c r="U32" i="116"/>
  <c r="U25" i="116"/>
  <c r="U19" i="116"/>
  <c r="X14" i="116"/>
  <c r="U16" i="116"/>
  <c r="U18" i="116"/>
  <c r="U21" i="116"/>
  <c r="C22" i="116"/>
  <c r="R25" i="116"/>
  <c r="E31" i="116"/>
  <c r="E30" i="116"/>
  <c r="F27" i="116"/>
  <c r="U29" i="116"/>
  <c r="U31" i="116"/>
  <c r="F63" i="116"/>
  <c r="G63" i="116" s="1"/>
  <c r="F67" i="116"/>
  <c r="G67" i="116" s="1"/>
  <c r="B21" i="116"/>
  <c r="U37" i="116"/>
  <c r="I120" i="116"/>
  <c r="J120" i="116"/>
  <c r="B13" i="116" s="1"/>
  <c r="U15" i="116"/>
  <c r="F113" i="116"/>
  <c r="G113" i="116" s="1"/>
  <c r="F109" i="116"/>
  <c r="G109" i="116" s="1"/>
  <c r="F105" i="116"/>
  <c r="G105" i="116" s="1"/>
  <c r="F101" i="116"/>
  <c r="G101" i="116" s="1"/>
  <c r="F95" i="116"/>
  <c r="G95" i="116" s="1"/>
  <c r="F91" i="116"/>
  <c r="G91" i="116" s="1"/>
  <c r="F87" i="116"/>
  <c r="G87" i="116" s="1"/>
  <c r="F83" i="116"/>
  <c r="G83" i="116" s="1"/>
  <c r="F79" i="116"/>
  <c r="G79" i="116" s="1"/>
  <c r="F75" i="116"/>
  <c r="G75" i="116" s="1"/>
  <c r="F71" i="116"/>
  <c r="G71" i="116" s="1"/>
  <c r="F111" i="116"/>
  <c r="G111" i="116" s="1"/>
  <c r="F107" i="116"/>
  <c r="G107" i="116" s="1"/>
  <c r="F103" i="116"/>
  <c r="G103" i="116" s="1"/>
  <c r="F99" i="116"/>
  <c r="G99" i="116" s="1"/>
  <c r="F97" i="116"/>
  <c r="G97" i="116" s="1"/>
  <c r="F93" i="116"/>
  <c r="G93" i="116" s="1"/>
  <c r="F112" i="116"/>
  <c r="G112" i="116" s="1"/>
  <c r="F108" i="116"/>
  <c r="G108" i="116" s="1"/>
  <c r="F104" i="116"/>
  <c r="G104" i="116" s="1"/>
  <c r="F102" i="116"/>
  <c r="G102" i="116" s="1"/>
  <c r="F100" i="116"/>
  <c r="G100" i="116" s="1"/>
  <c r="F98" i="116"/>
  <c r="G98" i="116" s="1"/>
  <c r="F94" i="116"/>
  <c r="G94" i="116" s="1"/>
  <c r="F90" i="116"/>
  <c r="G90" i="116" s="1"/>
  <c r="F65" i="116"/>
  <c r="G65" i="116" s="1"/>
  <c r="F110" i="116"/>
  <c r="G110" i="116" s="1"/>
  <c r="F96" i="116"/>
  <c r="G96" i="116" s="1"/>
  <c r="F92" i="116"/>
  <c r="G92" i="116" s="1"/>
  <c r="F88" i="116"/>
  <c r="G88" i="116" s="1"/>
  <c r="F84" i="116"/>
  <c r="G84" i="116" s="1"/>
  <c r="F80" i="116"/>
  <c r="G80" i="116" s="1"/>
  <c r="F76" i="116"/>
  <c r="G76" i="116" s="1"/>
  <c r="F72" i="116"/>
  <c r="G72" i="116" s="1"/>
  <c r="F106" i="116"/>
  <c r="G106" i="116" s="1"/>
  <c r="F89" i="116"/>
  <c r="G89" i="116" s="1"/>
  <c r="F86" i="116"/>
  <c r="G86" i="116" s="1"/>
  <c r="F85" i="116"/>
  <c r="G85" i="116" s="1"/>
  <c r="F82" i="116"/>
  <c r="G82" i="116" s="1"/>
  <c r="F81" i="116"/>
  <c r="G81" i="116" s="1"/>
  <c r="F78" i="116"/>
  <c r="G78" i="116" s="1"/>
  <c r="F77" i="116"/>
  <c r="G77" i="116" s="1"/>
  <c r="F74" i="116"/>
  <c r="G74" i="116" s="1"/>
  <c r="F73" i="116"/>
  <c r="G73" i="116" s="1"/>
  <c r="F70" i="116"/>
  <c r="G70" i="116" s="1"/>
  <c r="F69" i="116"/>
  <c r="G69" i="116" s="1"/>
  <c r="F66" i="116"/>
  <c r="G66" i="116" s="1"/>
  <c r="B18" i="116"/>
  <c r="U20" i="116"/>
  <c r="C21" i="116"/>
  <c r="U22" i="116"/>
  <c r="R26" i="116"/>
  <c r="U28" i="116"/>
  <c r="U30" i="116"/>
  <c r="F64" i="116"/>
  <c r="G64" i="116" s="1"/>
  <c r="T46" i="116"/>
  <c r="U24" i="116"/>
  <c r="U26" i="116"/>
  <c r="U27" i="116"/>
  <c r="U35" i="116"/>
  <c r="U36" i="116"/>
  <c r="U38" i="116"/>
  <c r="U39" i="116"/>
  <c r="T47" i="116"/>
  <c r="J122" i="116"/>
  <c r="F58" i="115"/>
  <c r="F57" i="115"/>
  <c r="U3" i="115"/>
  <c r="V3" i="115" s="1"/>
  <c r="I120" i="115"/>
  <c r="J120" i="115"/>
  <c r="F113" i="115"/>
  <c r="G113" i="115" s="1"/>
  <c r="F109" i="115"/>
  <c r="G109" i="115" s="1"/>
  <c r="F110" i="115"/>
  <c r="G110" i="115" s="1"/>
  <c r="F106" i="115"/>
  <c r="G106" i="115" s="1"/>
  <c r="F102" i="115"/>
  <c r="G102" i="115" s="1"/>
  <c r="F98" i="115"/>
  <c r="G98" i="115" s="1"/>
  <c r="F94" i="115"/>
  <c r="G94" i="115" s="1"/>
  <c r="F90" i="115"/>
  <c r="G90" i="115" s="1"/>
  <c r="F86" i="115"/>
  <c r="G86" i="115" s="1"/>
  <c r="F82" i="115"/>
  <c r="G82" i="115" s="1"/>
  <c r="F78" i="115"/>
  <c r="G78" i="115" s="1"/>
  <c r="F74" i="115"/>
  <c r="G74" i="115" s="1"/>
  <c r="F70" i="115"/>
  <c r="G70" i="115" s="1"/>
  <c r="F111" i="115"/>
  <c r="G111" i="115" s="1"/>
  <c r="F107" i="115"/>
  <c r="G107" i="115" s="1"/>
  <c r="F103" i="115"/>
  <c r="G103" i="115" s="1"/>
  <c r="F99" i="115"/>
  <c r="G99" i="115" s="1"/>
  <c r="F97" i="115"/>
  <c r="G97" i="115" s="1"/>
  <c r="F93" i="115"/>
  <c r="G93" i="115" s="1"/>
  <c r="F96" i="115"/>
  <c r="G96" i="115" s="1"/>
  <c r="F92" i="115"/>
  <c r="G92" i="115" s="1"/>
  <c r="F87" i="115"/>
  <c r="G87" i="115" s="1"/>
  <c r="F83" i="115"/>
  <c r="G83" i="115" s="1"/>
  <c r="F79" i="115"/>
  <c r="G79" i="115" s="1"/>
  <c r="F75" i="115"/>
  <c r="G75" i="115" s="1"/>
  <c r="F71" i="115"/>
  <c r="G71" i="115" s="1"/>
  <c r="F67" i="115"/>
  <c r="G67" i="115" s="1"/>
  <c r="F63" i="115"/>
  <c r="G63" i="115" s="1"/>
  <c r="F112" i="115"/>
  <c r="G112" i="115" s="1"/>
  <c r="F89" i="115"/>
  <c r="G89" i="115" s="1"/>
  <c r="F88" i="115"/>
  <c r="G88" i="115" s="1"/>
  <c r="F85" i="115"/>
  <c r="G85" i="115" s="1"/>
  <c r="F84" i="115"/>
  <c r="G84" i="115" s="1"/>
  <c r="F81" i="115"/>
  <c r="G81" i="115" s="1"/>
  <c r="F80" i="115"/>
  <c r="G80" i="115" s="1"/>
  <c r="F77" i="115"/>
  <c r="G77" i="115" s="1"/>
  <c r="F76" i="115"/>
  <c r="G76" i="115" s="1"/>
  <c r="F73" i="115"/>
  <c r="G73" i="115" s="1"/>
  <c r="F72" i="115"/>
  <c r="G72" i="115" s="1"/>
  <c r="F69" i="115"/>
  <c r="G69" i="115" s="1"/>
  <c r="F68" i="115"/>
  <c r="G68" i="115" s="1"/>
  <c r="F66" i="115"/>
  <c r="G66" i="115" s="1"/>
  <c r="F95" i="115"/>
  <c r="G95" i="115" s="1"/>
  <c r="F91" i="115"/>
  <c r="G91" i="115" s="1"/>
  <c r="F108" i="115"/>
  <c r="G108" i="115" s="1"/>
  <c r="F105" i="115"/>
  <c r="G105" i="115" s="1"/>
  <c r="F104" i="115"/>
  <c r="G104" i="115" s="1"/>
  <c r="F101" i="115"/>
  <c r="G101" i="115" s="1"/>
  <c r="F100" i="115"/>
  <c r="G100" i="115" s="1"/>
  <c r="F64" i="115"/>
  <c r="G64" i="115" s="1"/>
  <c r="B18" i="115"/>
  <c r="C21" i="115"/>
  <c r="E31" i="115"/>
  <c r="F65" i="115"/>
  <c r="G65" i="115" s="1"/>
  <c r="R25" i="115"/>
  <c r="R27" i="115"/>
  <c r="B30" i="115" s="1"/>
  <c r="B22" i="115"/>
  <c r="B20" i="115"/>
  <c r="C22" i="115"/>
  <c r="R26" i="115"/>
  <c r="F27" i="115"/>
  <c r="E30" i="115"/>
  <c r="I120" i="113"/>
  <c r="I122" i="113" s="1"/>
  <c r="J120" i="113"/>
  <c r="B13" i="113" s="1"/>
  <c r="F113" i="113"/>
  <c r="G113" i="113" s="1"/>
  <c r="F109" i="113"/>
  <c r="G109" i="113" s="1"/>
  <c r="F105" i="113"/>
  <c r="G105" i="113" s="1"/>
  <c r="F101" i="113"/>
  <c r="G101" i="113" s="1"/>
  <c r="F95" i="113"/>
  <c r="G95" i="113" s="1"/>
  <c r="F91" i="113"/>
  <c r="G91" i="113" s="1"/>
  <c r="F87" i="113"/>
  <c r="G87" i="113" s="1"/>
  <c r="F83" i="113"/>
  <c r="G83" i="113" s="1"/>
  <c r="F79" i="113"/>
  <c r="G79" i="113" s="1"/>
  <c r="F75" i="113"/>
  <c r="G75" i="113" s="1"/>
  <c r="F71" i="113"/>
  <c r="G71" i="113" s="1"/>
  <c r="F111" i="113"/>
  <c r="G111" i="113" s="1"/>
  <c r="F107" i="113"/>
  <c r="G107" i="113" s="1"/>
  <c r="F103" i="113"/>
  <c r="G103" i="113" s="1"/>
  <c r="F99" i="113"/>
  <c r="G99" i="113" s="1"/>
  <c r="F96" i="113"/>
  <c r="G96" i="113" s="1"/>
  <c r="F92" i="113"/>
  <c r="G92" i="113" s="1"/>
  <c r="F88" i="113"/>
  <c r="G88" i="113" s="1"/>
  <c r="F84" i="113"/>
  <c r="G84" i="113" s="1"/>
  <c r="F80" i="113"/>
  <c r="G80" i="113" s="1"/>
  <c r="F76" i="113"/>
  <c r="G76" i="113" s="1"/>
  <c r="F72" i="113"/>
  <c r="G72" i="113" s="1"/>
  <c r="F68" i="113"/>
  <c r="G68" i="113" s="1"/>
  <c r="F67" i="113"/>
  <c r="G67" i="113" s="1"/>
  <c r="F98" i="113"/>
  <c r="G98" i="113" s="1"/>
  <c r="F97" i="113"/>
  <c r="G97" i="113" s="1"/>
  <c r="F94" i="113"/>
  <c r="G94" i="113" s="1"/>
  <c r="F93" i="113"/>
  <c r="G93" i="113" s="1"/>
  <c r="F90" i="113"/>
  <c r="G90" i="113" s="1"/>
  <c r="F89" i="113"/>
  <c r="G89" i="113" s="1"/>
  <c r="F86" i="113"/>
  <c r="G86" i="113" s="1"/>
  <c r="F85" i="113"/>
  <c r="G85" i="113" s="1"/>
  <c r="F82" i="113"/>
  <c r="G82" i="113" s="1"/>
  <c r="F81" i="113"/>
  <c r="G81" i="113" s="1"/>
  <c r="F78" i="113"/>
  <c r="G78" i="113" s="1"/>
  <c r="F77" i="113"/>
  <c r="G77" i="113" s="1"/>
  <c r="F74" i="113"/>
  <c r="G74" i="113" s="1"/>
  <c r="F73" i="113"/>
  <c r="G73" i="113" s="1"/>
  <c r="F70" i="113"/>
  <c r="G70" i="113" s="1"/>
  <c r="F69" i="113"/>
  <c r="G69" i="113" s="1"/>
  <c r="F66" i="113"/>
  <c r="G66" i="113" s="1"/>
  <c r="F100" i="113"/>
  <c r="G100" i="113" s="1"/>
  <c r="B18" i="113"/>
  <c r="C21" i="113"/>
  <c r="R26" i="113"/>
  <c r="R27" i="113"/>
  <c r="B30" i="113" s="1"/>
  <c r="F102" i="113"/>
  <c r="G102" i="113" s="1"/>
  <c r="F104" i="113"/>
  <c r="G104" i="113" s="1"/>
  <c r="F106" i="113"/>
  <c r="G106" i="113" s="1"/>
  <c r="F108" i="113"/>
  <c r="G108" i="113" s="1"/>
  <c r="F110" i="113"/>
  <c r="G110" i="113" s="1"/>
  <c r="F112" i="113"/>
  <c r="G112" i="113" s="1"/>
  <c r="B19" i="113"/>
  <c r="B22" i="113"/>
  <c r="F28" i="113"/>
  <c r="F63" i="113"/>
  <c r="G63" i="113" s="1"/>
  <c r="F65" i="113"/>
  <c r="G65" i="113" s="1"/>
  <c r="B20" i="113"/>
  <c r="C22" i="113"/>
  <c r="F27" i="113"/>
  <c r="E30" i="113"/>
  <c r="B21" i="113"/>
  <c r="F64" i="113"/>
  <c r="G64" i="113" s="1"/>
  <c r="J122" i="113"/>
  <c r="F58" i="112"/>
  <c r="B19" i="112"/>
  <c r="B22" i="112"/>
  <c r="F28" i="112"/>
  <c r="F64" i="112"/>
  <c r="G64" i="112" s="1"/>
  <c r="R25" i="112"/>
  <c r="F27" i="112"/>
  <c r="E30" i="112"/>
  <c r="I57" i="112"/>
  <c r="I120" i="112"/>
  <c r="J120" i="112"/>
  <c r="B13" i="112" s="1"/>
  <c r="F113" i="112"/>
  <c r="G113" i="112" s="1"/>
  <c r="F109" i="112"/>
  <c r="G109" i="112" s="1"/>
  <c r="F105" i="112"/>
  <c r="G105" i="112" s="1"/>
  <c r="F101" i="112"/>
  <c r="G101" i="112" s="1"/>
  <c r="F95" i="112"/>
  <c r="G95" i="112" s="1"/>
  <c r="F91" i="112"/>
  <c r="G91" i="112" s="1"/>
  <c r="F87" i="112"/>
  <c r="G87" i="112" s="1"/>
  <c r="F83" i="112"/>
  <c r="G83" i="112" s="1"/>
  <c r="F79" i="112"/>
  <c r="G79" i="112" s="1"/>
  <c r="F75" i="112"/>
  <c r="G75" i="112" s="1"/>
  <c r="F71" i="112"/>
  <c r="G71" i="112" s="1"/>
  <c r="F111" i="112"/>
  <c r="G111" i="112" s="1"/>
  <c r="F107" i="112"/>
  <c r="G107" i="112" s="1"/>
  <c r="F103" i="112"/>
  <c r="G103" i="112" s="1"/>
  <c r="F99" i="112"/>
  <c r="G99" i="112" s="1"/>
  <c r="F97" i="112"/>
  <c r="G97" i="112" s="1"/>
  <c r="F112" i="112"/>
  <c r="G112" i="112" s="1"/>
  <c r="F108" i="112"/>
  <c r="G108" i="112" s="1"/>
  <c r="F104" i="112"/>
  <c r="G104" i="112" s="1"/>
  <c r="F94" i="112"/>
  <c r="G94" i="112" s="1"/>
  <c r="F93" i="112"/>
  <c r="G93" i="112" s="1"/>
  <c r="F90" i="112"/>
  <c r="G90" i="112" s="1"/>
  <c r="F89" i="112"/>
  <c r="G89" i="112" s="1"/>
  <c r="F86" i="112"/>
  <c r="G86" i="112" s="1"/>
  <c r="F85" i="112"/>
  <c r="G85" i="112" s="1"/>
  <c r="F82" i="112"/>
  <c r="G82" i="112" s="1"/>
  <c r="F81" i="112"/>
  <c r="G81" i="112" s="1"/>
  <c r="F78" i="112"/>
  <c r="G78" i="112" s="1"/>
  <c r="F77" i="112"/>
  <c r="G77" i="112" s="1"/>
  <c r="F74" i="112"/>
  <c r="G74" i="112" s="1"/>
  <c r="F73" i="112"/>
  <c r="G73" i="112" s="1"/>
  <c r="F70" i="112"/>
  <c r="G70" i="112" s="1"/>
  <c r="F69" i="112"/>
  <c r="G69" i="112" s="1"/>
  <c r="F66" i="112"/>
  <c r="G66" i="112" s="1"/>
  <c r="F110" i="112"/>
  <c r="G110" i="112" s="1"/>
  <c r="F96" i="112"/>
  <c r="G96" i="112" s="1"/>
  <c r="F65" i="112"/>
  <c r="G65" i="112" s="1"/>
  <c r="F106" i="112"/>
  <c r="G106" i="112" s="1"/>
  <c r="F102" i="112"/>
  <c r="G102" i="112" s="1"/>
  <c r="F100" i="112"/>
  <c r="G100" i="112" s="1"/>
  <c r="F98" i="112"/>
  <c r="G98" i="112" s="1"/>
  <c r="F92" i="112"/>
  <c r="G92" i="112" s="1"/>
  <c r="F88" i="112"/>
  <c r="G88" i="112" s="1"/>
  <c r="F84" i="112"/>
  <c r="G84" i="112" s="1"/>
  <c r="F80" i="112"/>
  <c r="G80" i="112" s="1"/>
  <c r="F76" i="112"/>
  <c r="G76" i="112" s="1"/>
  <c r="F72" i="112"/>
  <c r="G72" i="112" s="1"/>
  <c r="F68" i="112"/>
  <c r="G68" i="112" s="1"/>
  <c r="F67" i="112"/>
  <c r="G67" i="112" s="1"/>
  <c r="F63" i="112"/>
  <c r="G63" i="112" s="1"/>
  <c r="B18" i="112"/>
  <c r="C21" i="112"/>
  <c r="R26" i="112"/>
  <c r="B18" i="111"/>
  <c r="B20" i="111"/>
  <c r="R26" i="111"/>
  <c r="E31" i="111"/>
  <c r="I120" i="111"/>
  <c r="J120" i="111"/>
  <c r="J123" i="111" s="1"/>
  <c r="F113" i="111"/>
  <c r="G113" i="111" s="1"/>
  <c r="F109" i="111"/>
  <c r="G109" i="111" s="1"/>
  <c r="F105" i="111"/>
  <c r="G105" i="111" s="1"/>
  <c r="F101" i="111"/>
  <c r="G101" i="111" s="1"/>
  <c r="F95" i="111"/>
  <c r="G95" i="111" s="1"/>
  <c r="F91" i="111"/>
  <c r="G91" i="111" s="1"/>
  <c r="F87" i="111"/>
  <c r="G87" i="111" s="1"/>
  <c r="F83" i="111"/>
  <c r="G83" i="111" s="1"/>
  <c r="F79" i="111"/>
  <c r="G79" i="111" s="1"/>
  <c r="F75" i="111"/>
  <c r="G75" i="111" s="1"/>
  <c r="F71" i="111"/>
  <c r="G71" i="111" s="1"/>
  <c r="F111" i="111"/>
  <c r="G111" i="111" s="1"/>
  <c r="F107" i="111"/>
  <c r="G107" i="111" s="1"/>
  <c r="F103" i="111"/>
  <c r="G103" i="111" s="1"/>
  <c r="F99" i="111"/>
  <c r="G99" i="111" s="1"/>
  <c r="F97" i="111"/>
  <c r="G97" i="111" s="1"/>
  <c r="F93" i="111"/>
  <c r="G93" i="111" s="1"/>
  <c r="F89" i="111"/>
  <c r="G89" i="111" s="1"/>
  <c r="F85" i="111"/>
  <c r="G85" i="111" s="1"/>
  <c r="F81" i="111"/>
  <c r="G81" i="111" s="1"/>
  <c r="F77" i="111"/>
  <c r="G77" i="111" s="1"/>
  <c r="F73" i="111"/>
  <c r="G73" i="111" s="1"/>
  <c r="F69" i="111"/>
  <c r="G69" i="111" s="1"/>
  <c r="F112" i="111"/>
  <c r="G112" i="111" s="1"/>
  <c r="F108" i="111"/>
  <c r="G108" i="111" s="1"/>
  <c r="F104" i="111"/>
  <c r="G104" i="111" s="1"/>
  <c r="F96" i="111"/>
  <c r="G96" i="111" s="1"/>
  <c r="F92" i="111"/>
  <c r="G92" i="111" s="1"/>
  <c r="F88" i="111"/>
  <c r="G88" i="111" s="1"/>
  <c r="F84" i="111"/>
  <c r="G84" i="111" s="1"/>
  <c r="F80" i="111"/>
  <c r="G80" i="111" s="1"/>
  <c r="F76" i="111"/>
  <c r="G76" i="111" s="1"/>
  <c r="F72" i="111"/>
  <c r="G72" i="111" s="1"/>
  <c r="F67" i="111"/>
  <c r="G67" i="111" s="1"/>
  <c r="F63" i="111"/>
  <c r="G63" i="111" s="1"/>
  <c r="B21" i="111"/>
  <c r="F110" i="111"/>
  <c r="G110" i="111" s="1"/>
  <c r="F66" i="111"/>
  <c r="G66" i="111" s="1"/>
  <c r="F102" i="111"/>
  <c r="G102" i="111" s="1"/>
  <c r="F100" i="111"/>
  <c r="G100" i="111" s="1"/>
  <c r="F98" i="111"/>
  <c r="G98" i="111" s="1"/>
  <c r="F94" i="111"/>
  <c r="G94" i="111" s="1"/>
  <c r="F90" i="111"/>
  <c r="G90" i="111" s="1"/>
  <c r="F86" i="111"/>
  <c r="G86" i="111" s="1"/>
  <c r="F82" i="111"/>
  <c r="G82" i="111" s="1"/>
  <c r="F78" i="111"/>
  <c r="G78" i="111" s="1"/>
  <c r="F74" i="111"/>
  <c r="G74" i="111" s="1"/>
  <c r="F70" i="111"/>
  <c r="G70" i="111" s="1"/>
  <c r="F65" i="111"/>
  <c r="G65" i="111" s="1"/>
  <c r="F106" i="111"/>
  <c r="G106" i="111" s="1"/>
  <c r="F68" i="111"/>
  <c r="G68" i="111" s="1"/>
  <c r="C21" i="111"/>
  <c r="B22" i="111"/>
  <c r="U14" i="111"/>
  <c r="C22" i="111"/>
  <c r="R25" i="111"/>
  <c r="F64" i="111"/>
  <c r="G64" i="111" s="1"/>
  <c r="I120" i="110"/>
  <c r="J120" i="110"/>
  <c r="J123" i="110" s="1"/>
  <c r="F113" i="110"/>
  <c r="G113" i="110" s="1"/>
  <c r="F109" i="110"/>
  <c r="G109" i="110" s="1"/>
  <c r="F105" i="110"/>
  <c r="G105" i="110" s="1"/>
  <c r="F101" i="110"/>
  <c r="G101" i="110" s="1"/>
  <c r="F95" i="110"/>
  <c r="G95" i="110" s="1"/>
  <c r="F91" i="110"/>
  <c r="G91" i="110" s="1"/>
  <c r="F87" i="110"/>
  <c r="G87" i="110" s="1"/>
  <c r="F83" i="110"/>
  <c r="G83" i="110" s="1"/>
  <c r="F79" i="110"/>
  <c r="G79" i="110" s="1"/>
  <c r="F75" i="110"/>
  <c r="G75" i="110" s="1"/>
  <c r="F71" i="110"/>
  <c r="G71" i="110" s="1"/>
  <c r="F111" i="110"/>
  <c r="G111" i="110" s="1"/>
  <c r="F107" i="110"/>
  <c r="G107" i="110" s="1"/>
  <c r="F112" i="110"/>
  <c r="G112" i="110" s="1"/>
  <c r="F108" i="110"/>
  <c r="G108" i="110" s="1"/>
  <c r="F104" i="110"/>
  <c r="G104" i="110" s="1"/>
  <c r="F100" i="110"/>
  <c r="G100" i="110" s="1"/>
  <c r="F98" i="110"/>
  <c r="G98" i="110" s="1"/>
  <c r="F97" i="110"/>
  <c r="G97" i="110" s="1"/>
  <c r="F94" i="110"/>
  <c r="G94" i="110" s="1"/>
  <c r="F93" i="110"/>
  <c r="G93" i="110" s="1"/>
  <c r="F90" i="110"/>
  <c r="G90" i="110" s="1"/>
  <c r="F89" i="110"/>
  <c r="G89" i="110" s="1"/>
  <c r="F86" i="110"/>
  <c r="G86" i="110" s="1"/>
  <c r="F85" i="110"/>
  <c r="G85" i="110" s="1"/>
  <c r="F82" i="110"/>
  <c r="G82" i="110" s="1"/>
  <c r="F81" i="110"/>
  <c r="G81" i="110" s="1"/>
  <c r="F78" i="110"/>
  <c r="G78" i="110" s="1"/>
  <c r="F77" i="110"/>
  <c r="G77" i="110" s="1"/>
  <c r="F74" i="110"/>
  <c r="G74" i="110" s="1"/>
  <c r="F73" i="110"/>
  <c r="G73" i="110" s="1"/>
  <c r="F70" i="110"/>
  <c r="G70" i="110" s="1"/>
  <c r="F69" i="110"/>
  <c r="G69" i="110" s="1"/>
  <c r="F110" i="110"/>
  <c r="G110" i="110" s="1"/>
  <c r="F106" i="110"/>
  <c r="G106" i="110" s="1"/>
  <c r="F103" i="110"/>
  <c r="G103" i="110" s="1"/>
  <c r="F102" i="110"/>
  <c r="G102" i="110" s="1"/>
  <c r="F99" i="110"/>
  <c r="G99" i="110" s="1"/>
  <c r="F96" i="110"/>
  <c r="G96" i="110" s="1"/>
  <c r="F92" i="110"/>
  <c r="G92" i="110" s="1"/>
  <c r="F88" i="110"/>
  <c r="G88" i="110" s="1"/>
  <c r="F84" i="110"/>
  <c r="G84" i="110" s="1"/>
  <c r="F80" i="110"/>
  <c r="G80" i="110" s="1"/>
  <c r="F76" i="110"/>
  <c r="G76" i="110" s="1"/>
  <c r="F72" i="110"/>
  <c r="G72" i="110" s="1"/>
  <c r="F68" i="110"/>
  <c r="G68" i="110" s="1"/>
  <c r="F67" i="110"/>
  <c r="G67" i="110" s="1"/>
  <c r="F63" i="110"/>
  <c r="G63" i="110" s="1"/>
  <c r="B18" i="110"/>
  <c r="C21" i="110"/>
  <c r="R26" i="110"/>
  <c r="R27" i="110"/>
  <c r="B30" i="110" s="1"/>
  <c r="E31" i="110"/>
  <c r="F65" i="110"/>
  <c r="G65" i="110" s="1"/>
  <c r="F66" i="110"/>
  <c r="G66" i="110" s="1"/>
  <c r="F28" i="110"/>
  <c r="F64" i="110"/>
  <c r="G64" i="110" s="1"/>
  <c r="B20" i="110"/>
  <c r="C22" i="110"/>
  <c r="B23" i="110"/>
  <c r="H58" i="110"/>
  <c r="B21" i="109"/>
  <c r="E30" i="109"/>
  <c r="I120" i="109"/>
  <c r="J120" i="109"/>
  <c r="B13" i="109" s="1"/>
  <c r="F113" i="109"/>
  <c r="G113" i="109" s="1"/>
  <c r="F109" i="109"/>
  <c r="G109" i="109" s="1"/>
  <c r="F105" i="109"/>
  <c r="G105" i="109" s="1"/>
  <c r="F101" i="109"/>
  <c r="G101" i="109" s="1"/>
  <c r="F95" i="109"/>
  <c r="G95" i="109" s="1"/>
  <c r="F91" i="109"/>
  <c r="G91" i="109" s="1"/>
  <c r="F87" i="109"/>
  <c r="G87" i="109" s="1"/>
  <c r="F83" i="109"/>
  <c r="G83" i="109" s="1"/>
  <c r="F79" i="109"/>
  <c r="G79" i="109" s="1"/>
  <c r="F75" i="109"/>
  <c r="G75" i="109" s="1"/>
  <c r="F71" i="109"/>
  <c r="G71" i="109" s="1"/>
  <c r="F111" i="109"/>
  <c r="G111" i="109" s="1"/>
  <c r="F107" i="109"/>
  <c r="G107" i="109" s="1"/>
  <c r="F103" i="109"/>
  <c r="G103" i="109" s="1"/>
  <c r="F99" i="109"/>
  <c r="G99" i="109" s="1"/>
  <c r="F112" i="109"/>
  <c r="G112" i="109" s="1"/>
  <c r="F108" i="109"/>
  <c r="G108" i="109" s="1"/>
  <c r="F104" i="109"/>
  <c r="G104" i="109" s="1"/>
  <c r="F100" i="109"/>
  <c r="G100" i="109" s="1"/>
  <c r="F96" i="109"/>
  <c r="G96" i="109" s="1"/>
  <c r="F97" i="109"/>
  <c r="G97" i="109" s="1"/>
  <c r="F94" i="109"/>
  <c r="G94" i="109" s="1"/>
  <c r="F93" i="109"/>
  <c r="G93" i="109" s="1"/>
  <c r="F90" i="109"/>
  <c r="G90" i="109" s="1"/>
  <c r="F89" i="109"/>
  <c r="G89" i="109" s="1"/>
  <c r="F86" i="109"/>
  <c r="G86" i="109" s="1"/>
  <c r="F85" i="109"/>
  <c r="G85" i="109" s="1"/>
  <c r="F82" i="109"/>
  <c r="G82" i="109" s="1"/>
  <c r="F81" i="109"/>
  <c r="G81" i="109" s="1"/>
  <c r="F78" i="109"/>
  <c r="G78" i="109" s="1"/>
  <c r="F77" i="109"/>
  <c r="G77" i="109" s="1"/>
  <c r="F74" i="109"/>
  <c r="G74" i="109" s="1"/>
  <c r="F73" i="109"/>
  <c r="G73" i="109" s="1"/>
  <c r="F70" i="109"/>
  <c r="G70" i="109" s="1"/>
  <c r="F69" i="109"/>
  <c r="G69" i="109" s="1"/>
  <c r="F106" i="109"/>
  <c r="G106" i="109" s="1"/>
  <c r="F98" i="109"/>
  <c r="G98" i="109" s="1"/>
  <c r="F92" i="109"/>
  <c r="G92" i="109" s="1"/>
  <c r="F88" i="109"/>
  <c r="G88" i="109" s="1"/>
  <c r="F84" i="109"/>
  <c r="G84" i="109" s="1"/>
  <c r="F80" i="109"/>
  <c r="G80" i="109" s="1"/>
  <c r="F76" i="109"/>
  <c r="G76" i="109" s="1"/>
  <c r="F72" i="109"/>
  <c r="G72" i="109" s="1"/>
  <c r="F68" i="109"/>
  <c r="G68" i="109" s="1"/>
  <c r="F67" i="109"/>
  <c r="G67" i="109" s="1"/>
  <c r="F63" i="109"/>
  <c r="G63" i="109" s="1"/>
  <c r="B18" i="109"/>
  <c r="C21" i="109"/>
  <c r="R26" i="109"/>
  <c r="R27" i="109"/>
  <c r="B30" i="109" s="1"/>
  <c r="B37" i="109"/>
  <c r="B38" i="109" s="1"/>
  <c r="X14" i="109" s="1"/>
  <c r="U14" i="109"/>
  <c r="B19" i="109"/>
  <c r="B22" i="109"/>
  <c r="U24" i="109"/>
  <c r="F102" i="109"/>
  <c r="G102" i="109" s="1"/>
  <c r="F110" i="109"/>
  <c r="G110" i="109" s="1"/>
  <c r="C22" i="109"/>
  <c r="F27" i="109"/>
  <c r="F65" i="109"/>
  <c r="G65" i="109" s="1"/>
  <c r="F66" i="109"/>
  <c r="G66" i="109" s="1"/>
  <c r="F58" i="108"/>
  <c r="F57" i="108"/>
  <c r="U3" i="108"/>
  <c r="V3" i="108" s="1"/>
  <c r="I120" i="108"/>
  <c r="J120" i="108"/>
  <c r="B13" i="108" s="1"/>
  <c r="F113" i="108"/>
  <c r="G113" i="108" s="1"/>
  <c r="F109" i="108"/>
  <c r="G109" i="108" s="1"/>
  <c r="F105" i="108"/>
  <c r="G105" i="108" s="1"/>
  <c r="F101" i="108"/>
  <c r="G101" i="108" s="1"/>
  <c r="F95" i="108"/>
  <c r="G95" i="108" s="1"/>
  <c r="F91" i="108"/>
  <c r="G91" i="108" s="1"/>
  <c r="F87" i="108"/>
  <c r="G87" i="108" s="1"/>
  <c r="F83" i="108"/>
  <c r="G83" i="108" s="1"/>
  <c r="F79" i="108"/>
  <c r="G79" i="108" s="1"/>
  <c r="F75" i="108"/>
  <c r="G75" i="108" s="1"/>
  <c r="F71" i="108"/>
  <c r="G71" i="108" s="1"/>
  <c r="F111" i="108"/>
  <c r="G111" i="108" s="1"/>
  <c r="F107" i="108"/>
  <c r="G107" i="108" s="1"/>
  <c r="F103" i="108"/>
  <c r="G103" i="108" s="1"/>
  <c r="F99" i="108"/>
  <c r="G99" i="108" s="1"/>
  <c r="F112" i="108"/>
  <c r="G112" i="108" s="1"/>
  <c r="F108" i="108"/>
  <c r="G108" i="108" s="1"/>
  <c r="F104" i="108"/>
  <c r="G104" i="108" s="1"/>
  <c r="F97" i="108"/>
  <c r="G97" i="108" s="1"/>
  <c r="F94" i="108"/>
  <c r="G94" i="108" s="1"/>
  <c r="F93" i="108"/>
  <c r="G93" i="108" s="1"/>
  <c r="F90" i="108"/>
  <c r="G90" i="108" s="1"/>
  <c r="F89" i="108"/>
  <c r="G89" i="108" s="1"/>
  <c r="F86" i="108"/>
  <c r="G86" i="108" s="1"/>
  <c r="F85" i="108"/>
  <c r="G85" i="108" s="1"/>
  <c r="F82" i="108"/>
  <c r="G82" i="108" s="1"/>
  <c r="F81" i="108"/>
  <c r="G81" i="108" s="1"/>
  <c r="F78" i="108"/>
  <c r="G78" i="108" s="1"/>
  <c r="F77" i="108"/>
  <c r="G77" i="108" s="1"/>
  <c r="F74" i="108"/>
  <c r="G74" i="108" s="1"/>
  <c r="F73" i="108"/>
  <c r="G73" i="108" s="1"/>
  <c r="F70" i="108"/>
  <c r="G70" i="108" s="1"/>
  <c r="F69" i="108"/>
  <c r="G69" i="108" s="1"/>
  <c r="F110" i="108"/>
  <c r="G110" i="108" s="1"/>
  <c r="F106" i="108"/>
  <c r="G106" i="108" s="1"/>
  <c r="F96" i="108"/>
  <c r="G96" i="108" s="1"/>
  <c r="F92" i="108"/>
  <c r="G92" i="108" s="1"/>
  <c r="F88" i="108"/>
  <c r="G88" i="108" s="1"/>
  <c r="F84" i="108"/>
  <c r="G84" i="108" s="1"/>
  <c r="F80" i="108"/>
  <c r="G80" i="108" s="1"/>
  <c r="F76" i="108"/>
  <c r="G76" i="108" s="1"/>
  <c r="F72" i="108"/>
  <c r="G72" i="108" s="1"/>
  <c r="F68" i="108"/>
  <c r="G68" i="108" s="1"/>
  <c r="F67" i="108"/>
  <c r="G67" i="108" s="1"/>
  <c r="F63" i="108"/>
  <c r="G63" i="108" s="1"/>
  <c r="B18" i="108"/>
  <c r="C21" i="108"/>
  <c r="R26" i="108"/>
  <c r="F65" i="108"/>
  <c r="G65" i="108" s="1"/>
  <c r="F66" i="108"/>
  <c r="G66" i="108" s="1"/>
  <c r="F98" i="108"/>
  <c r="G98" i="108" s="1"/>
  <c r="F100" i="108"/>
  <c r="G100" i="108" s="1"/>
  <c r="F102" i="108"/>
  <c r="G102" i="108" s="1"/>
  <c r="U14" i="108"/>
  <c r="B19" i="108"/>
  <c r="B22" i="108"/>
  <c r="F28" i="108"/>
  <c r="E30" i="108"/>
  <c r="F64" i="108"/>
  <c r="G64" i="108" s="1"/>
  <c r="B20" i="108"/>
  <c r="C22" i="108"/>
  <c r="B27" i="107"/>
  <c r="R27" i="107"/>
  <c r="B30" i="107" s="1"/>
  <c r="U14" i="107"/>
  <c r="C21" i="107"/>
  <c r="B22" i="107"/>
  <c r="F27" i="107"/>
  <c r="F28" i="107"/>
  <c r="E30" i="107"/>
  <c r="F72" i="107"/>
  <c r="G72" i="107" s="1"/>
  <c r="F76" i="107"/>
  <c r="G76" i="107" s="1"/>
  <c r="F80" i="107"/>
  <c r="G80" i="107" s="1"/>
  <c r="F84" i="107"/>
  <c r="G84" i="107" s="1"/>
  <c r="F88" i="107"/>
  <c r="G88" i="107" s="1"/>
  <c r="F92" i="107"/>
  <c r="G92" i="107" s="1"/>
  <c r="R25" i="107"/>
  <c r="I58" i="107"/>
  <c r="I120" i="107"/>
  <c r="J120" i="107"/>
  <c r="B13" i="107" s="1"/>
  <c r="F113" i="107"/>
  <c r="G113" i="107" s="1"/>
  <c r="F109" i="107"/>
  <c r="G109" i="107" s="1"/>
  <c r="F105" i="107"/>
  <c r="G105" i="107" s="1"/>
  <c r="F101" i="107"/>
  <c r="G101" i="107" s="1"/>
  <c r="F95" i="107"/>
  <c r="G95" i="107" s="1"/>
  <c r="F91" i="107"/>
  <c r="G91" i="107" s="1"/>
  <c r="F87" i="107"/>
  <c r="G87" i="107" s="1"/>
  <c r="F83" i="107"/>
  <c r="G83" i="107" s="1"/>
  <c r="F79" i="107"/>
  <c r="G79" i="107" s="1"/>
  <c r="F75" i="107"/>
  <c r="G75" i="107" s="1"/>
  <c r="F71" i="107"/>
  <c r="G71" i="107" s="1"/>
  <c r="F111" i="107"/>
  <c r="G111" i="107" s="1"/>
  <c r="F107" i="107"/>
  <c r="G107" i="107" s="1"/>
  <c r="F103" i="107"/>
  <c r="G103" i="107" s="1"/>
  <c r="F99" i="107"/>
  <c r="G99" i="107" s="1"/>
  <c r="F97" i="107"/>
  <c r="G97" i="107" s="1"/>
  <c r="F93" i="107"/>
  <c r="G93" i="107" s="1"/>
  <c r="F89" i="107"/>
  <c r="G89" i="107" s="1"/>
  <c r="F85" i="107"/>
  <c r="G85" i="107" s="1"/>
  <c r="F81" i="107"/>
  <c r="G81" i="107" s="1"/>
  <c r="F77" i="107"/>
  <c r="G77" i="107" s="1"/>
  <c r="F73" i="107"/>
  <c r="G73" i="107" s="1"/>
  <c r="F69" i="107"/>
  <c r="G69" i="107" s="1"/>
  <c r="F112" i="107"/>
  <c r="G112" i="107" s="1"/>
  <c r="F110" i="107"/>
  <c r="G110" i="107" s="1"/>
  <c r="F108" i="107"/>
  <c r="G108" i="107" s="1"/>
  <c r="F106" i="107"/>
  <c r="G106" i="107" s="1"/>
  <c r="F104" i="107"/>
  <c r="G104" i="107" s="1"/>
  <c r="F102" i="107"/>
  <c r="G102" i="107" s="1"/>
  <c r="F100" i="107"/>
  <c r="G100" i="107" s="1"/>
  <c r="F98" i="107"/>
  <c r="G98" i="107" s="1"/>
  <c r="F94" i="107"/>
  <c r="G94" i="107" s="1"/>
  <c r="F90" i="107"/>
  <c r="G90" i="107" s="1"/>
  <c r="F86" i="107"/>
  <c r="G86" i="107" s="1"/>
  <c r="F82" i="107"/>
  <c r="G82" i="107" s="1"/>
  <c r="F78" i="107"/>
  <c r="G78" i="107" s="1"/>
  <c r="F74" i="107"/>
  <c r="G74" i="107" s="1"/>
  <c r="F70" i="107"/>
  <c r="G70" i="107" s="1"/>
  <c r="F68" i="107"/>
  <c r="G68" i="107" s="1"/>
  <c r="F64" i="107"/>
  <c r="G64" i="107" s="1"/>
  <c r="F67" i="107"/>
  <c r="G67" i="107" s="1"/>
  <c r="F63" i="107"/>
  <c r="G63" i="107" s="1"/>
  <c r="B21" i="107"/>
  <c r="F65" i="107"/>
  <c r="G65" i="107" s="1"/>
  <c r="B18" i="107"/>
  <c r="B19" i="107"/>
  <c r="B20" i="107"/>
  <c r="B38" i="106"/>
  <c r="X14" i="106" s="1"/>
  <c r="U33" i="106"/>
  <c r="U25" i="106"/>
  <c r="U29" i="106"/>
  <c r="U39" i="106"/>
  <c r="U23" i="106"/>
  <c r="U14" i="106"/>
  <c r="U22" i="106"/>
  <c r="I120" i="106"/>
  <c r="J120" i="106"/>
  <c r="J122" i="106" s="1"/>
  <c r="F113" i="106"/>
  <c r="G113" i="106" s="1"/>
  <c r="F109" i="106"/>
  <c r="G109" i="106" s="1"/>
  <c r="F105" i="106"/>
  <c r="G105" i="106" s="1"/>
  <c r="F101" i="106"/>
  <c r="G101" i="106" s="1"/>
  <c r="F95" i="106"/>
  <c r="G95" i="106" s="1"/>
  <c r="F91" i="106"/>
  <c r="G91" i="106" s="1"/>
  <c r="F87" i="106"/>
  <c r="G87" i="106" s="1"/>
  <c r="F83" i="106"/>
  <c r="G83" i="106" s="1"/>
  <c r="F79" i="106"/>
  <c r="G79" i="106" s="1"/>
  <c r="F75" i="106"/>
  <c r="G75" i="106" s="1"/>
  <c r="F71" i="106"/>
  <c r="G71" i="106" s="1"/>
  <c r="F111" i="106"/>
  <c r="G111" i="106" s="1"/>
  <c r="F107" i="106"/>
  <c r="G107" i="106" s="1"/>
  <c r="F103" i="106"/>
  <c r="G103" i="106" s="1"/>
  <c r="F99" i="106"/>
  <c r="G99" i="106" s="1"/>
  <c r="F97" i="106"/>
  <c r="G97" i="106" s="1"/>
  <c r="F93" i="106"/>
  <c r="G93" i="106" s="1"/>
  <c r="F89" i="106"/>
  <c r="G89" i="106" s="1"/>
  <c r="F85" i="106"/>
  <c r="G85" i="106" s="1"/>
  <c r="F81" i="106"/>
  <c r="G81" i="106" s="1"/>
  <c r="F77" i="106"/>
  <c r="G77" i="106" s="1"/>
  <c r="F73" i="106"/>
  <c r="G73" i="106" s="1"/>
  <c r="F68" i="106"/>
  <c r="G68" i="106" s="1"/>
  <c r="F67" i="106"/>
  <c r="G67" i="106" s="1"/>
  <c r="F63" i="106"/>
  <c r="G63" i="106" s="1"/>
  <c r="F96" i="106"/>
  <c r="G96" i="106" s="1"/>
  <c r="F92" i="106"/>
  <c r="G92" i="106" s="1"/>
  <c r="F88" i="106"/>
  <c r="G88" i="106" s="1"/>
  <c r="F84" i="106"/>
  <c r="G84" i="106" s="1"/>
  <c r="F80" i="106"/>
  <c r="G80" i="106" s="1"/>
  <c r="F76" i="106"/>
  <c r="G76" i="106" s="1"/>
  <c r="F72" i="106"/>
  <c r="G72" i="106" s="1"/>
  <c r="F69" i="106"/>
  <c r="G69" i="106" s="1"/>
  <c r="F66" i="106"/>
  <c r="G66" i="106" s="1"/>
  <c r="F112" i="106"/>
  <c r="G112" i="106" s="1"/>
  <c r="F110" i="106"/>
  <c r="G110" i="106" s="1"/>
  <c r="F108" i="106"/>
  <c r="G108" i="106" s="1"/>
  <c r="F106" i="106"/>
  <c r="G106" i="106" s="1"/>
  <c r="F104" i="106"/>
  <c r="G104" i="106" s="1"/>
  <c r="F102" i="106"/>
  <c r="G102" i="106" s="1"/>
  <c r="F100" i="106"/>
  <c r="G100" i="106" s="1"/>
  <c r="F98" i="106"/>
  <c r="G98" i="106" s="1"/>
  <c r="F94" i="106"/>
  <c r="G94" i="106" s="1"/>
  <c r="F90" i="106"/>
  <c r="G90" i="106" s="1"/>
  <c r="F86" i="106"/>
  <c r="G86" i="106" s="1"/>
  <c r="F82" i="106"/>
  <c r="G82" i="106" s="1"/>
  <c r="F78" i="106"/>
  <c r="G78" i="106" s="1"/>
  <c r="F74" i="106"/>
  <c r="G74" i="106" s="1"/>
  <c r="F70" i="106"/>
  <c r="G70" i="106" s="1"/>
  <c r="F64" i="106"/>
  <c r="G64" i="106" s="1"/>
  <c r="B18" i="106"/>
  <c r="C21" i="106"/>
  <c r="R26" i="106"/>
  <c r="B22" i="106"/>
  <c r="E30" i="106"/>
  <c r="B20" i="106"/>
  <c r="C22" i="106"/>
  <c r="R25" i="106"/>
  <c r="F65" i="106"/>
  <c r="G65" i="106" s="1"/>
  <c r="J123" i="106"/>
  <c r="U36" i="105"/>
  <c r="U31" i="105"/>
  <c r="U30" i="105"/>
  <c r="U38" i="105"/>
  <c r="U37" i="105"/>
  <c r="U35" i="105"/>
  <c r="U27" i="105"/>
  <c r="U26" i="105"/>
  <c r="U24" i="105"/>
  <c r="U23" i="105"/>
  <c r="U17" i="105"/>
  <c r="U14" i="105"/>
  <c r="U39" i="105"/>
  <c r="U28" i="105"/>
  <c r="U22" i="105"/>
  <c r="U20" i="105"/>
  <c r="U15" i="105"/>
  <c r="U33" i="105"/>
  <c r="U32" i="105"/>
  <c r="U25" i="105"/>
  <c r="U19" i="105"/>
  <c r="U34" i="105"/>
  <c r="U29" i="105"/>
  <c r="U21" i="105"/>
  <c r="U18" i="105"/>
  <c r="U16" i="105"/>
  <c r="F57" i="105"/>
  <c r="F58" i="105"/>
  <c r="U3" i="105"/>
  <c r="V3" i="105" s="1"/>
  <c r="B20" i="105"/>
  <c r="C22" i="105"/>
  <c r="R25" i="105"/>
  <c r="F27" i="105"/>
  <c r="F68" i="105"/>
  <c r="G68" i="105" s="1"/>
  <c r="F63" i="105"/>
  <c r="G63" i="105" s="1"/>
  <c r="F64" i="105"/>
  <c r="G64" i="105" s="1"/>
  <c r="F67" i="105"/>
  <c r="G67" i="105" s="1"/>
  <c r="F69" i="105"/>
  <c r="G69" i="105" s="1"/>
  <c r="F70" i="105"/>
  <c r="G70" i="105" s="1"/>
  <c r="F72" i="105"/>
  <c r="G72" i="105" s="1"/>
  <c r="F73" i="105"/>
  <c r="G73" i="105" s="1"/>
  <c r="F74" i="105"/>
  <c r="G74" i="105" s="1"/>
  <c r="F76" i="105"/>
  <c r="G76" i="105" s="1"/>
  <c r="F77" i="105"/>
  <c r="G77" i="105" s="1"/>
  <c r="F78" i="105"/>
  <c r="G78" i="105" s="1"/>
  <c r="F80" i="105"/>
  <c r="G80" i="105" s="1"/>
  <c r="F81" i="105"/>
  <c r="G81" i="105" s="1"/>
  <c r="F82" i="105"/>
  <c r="G82" i="105" s="1"/>
  <c r="F84" i="105"/>
  <c r="G84" i="105" s="1"/>
  <c r="F85" i="105"/>
  <c r="G85" i="105" s="1"/>
  <c r="F86" i="105"/>
  <c r="G86" i="105" s="1"/>
  <c r="F88" i="105"/>
  <c r="G88" i="105" s="1"/>
  <c r="F89" i="105"/>
  <c r="G89" i="105" s="1"/>
  <c r="F90" i="105"/>
  <c r="G90" i="105" s="1"/>
  <c r="F92" i="105"/>
  <c r="G92" i="105" s="1"/>
  <c r="I120" i="105"/>
  <c r="J120" i="105"/>
  <c r="J123" i="105" s="1"/>
  <c r="F113" i="105"/>
  <c r="G113" i="105" s="1"/>
  <c r="F109" i="105"/>
  <c r="G109" i="105" s="1"/>
  <c r="F105" i="105"/>
  <c r="G105" i="105" s="1"/>
  <c r="F101" i="105"/>
  <c r="G101" i="105" s="1"/>
  <c r="F95" i="105"/>
  <c r="G95" i="105" s="1"/>
  <c r="F91" i="105"/>
  <c r="G91" i="105" s="1"/>
  <c r="F87" i="105"/>
  <c r="G87" i="105" s="1"/>
  <c r="F83" i="105"/>
  <c r="G83" i="105" s="1"/>
  <c r="F79" i="105"/>
  <c r="G79" i="105" s="1"/>
  <c r="F75" i="105"/>
  <c r="G75" i="105" s="1"/>
  <c r="F71" i="105"/>
  <c r="G71" i="105" s="1"/>
  <c r="F112" i="105"/>
  <c r="G112" i="105" s="1"/>
  <c r="F108" i="105"/>
  <c r="G108" i="105" s="1"/>
  <c r="F104" i="105"/>
  <c r="G104" i="105" s="1"/>
  <c r="F100" i="105"/>
  <c r="G100" i="105" s="1"/>
  <c r="F96" i="105"/>
  <c r="G96" i="105" s="1"/>
  <c r="F111" i="105"/>
  <c r="G111" i="105" s="1"/>
  <c r="F110" i="105"/>
  <c r="G110" i="105" s="1"/>
  <c r="F107" i="105"/>
  <c r="G107" i="105" s="1"/>
  <c r="F106" i="105"/>
  <c r="G106" i="105" s="1"/>
  <c r="F103" i="105"/>
  <c r="G103" i="105" s="1"/>
  <c r="F102" i="105"/>
  <c r="G102" i="105" s="1"/>
  <c r="F99" i="105"/>
  <c r="G99" i="105" s="1"/>
  <c r="F98" i="105"/>
  <c r="G98" i="105" s="1"/>
  <c r="F94" i="105"/>
  <c r="G94" i="105" s="1"/>
  <c r="F65" i="105"/>
  <c r="G65" i="105" s="1"/>
  <c r="B18" i="105"/>
  <c r="C21" i="105"/>
  <c r="R26" i="105"/>
  <c r="E31" i="105"/>
  <c r="F66" i="105"/>
  <c r="G66" i="105" s="1"/>
  <c r="F97" i="105"/>
  <c r="G97" i="105" s="1"/>
  <c r="B19" i="105"/>
  <c r="B22" i="105"/>
  <c r="J122" i="105"/>
  <c r="I120" i="104"/>
  <c r="J120" i="104"/>
  <c r="B13" i="104" s="1"/>
  <c r="F113" i="104"/>
  <c r="G113" i="104" s="1"/>
  <c r="F109" i="104"/>
  <c r="G109" i="104" s="1"/>
  <c r="F105" i="104"/>
  <c r="G105" i="104" s="1"/>
  <c r="F101" i="104"/>
  <c r="G101" i="104" s="1"/>
  <c r="F95" i="104"/>
  <c r="G95" i="104" s="1"/>
  <c r="F91" i="104"/>
  <c r="G91" i="104" s="1"/>
  <c r="F87" i="104"/>
  <c r="G87" i="104" s="1"/>
  <c r="F83" i="104"/>
  <c r="G83" i="104" s="1"/>
  <c r="F79" i="104"/>
  <c r="G79" i="104" s="1"/>
  <c r="F75" i="104"/>
  <c r="G75" i="104" s="1"/>
  <c r="F71" i="104"/>
  <c r="G71" i="104" s="1"/>
  <c r="F111" i="104"/>
  <c r="G111" i="104" s="1"/>
  <c r="F112" i="104"/>
  <c r="G112" i="104" s="1"/>
  <c r="F108" i="104"/>
  <c r="G108" i="104" s="1"/>
  <c r="F104" i="104"/>
  <c r="G104" i="104" s="1"/>
  <c r="F100" i="104"/>
  <c r="G100" i="104" s="1"/>
  <c r="F110" i="104"/>
  <c r="G110" i="104" s="1"/>
  <c r="F107" i="104"/>
  <c r="G107" i="104" s="1"/>
  <c r="F106" i="104"/>
  <c r="G106" i="104" s="1"/>
  <c r="F103" i="104"/>
  <c r="G103" i="104" s="1"/>
  <c r="F102" i="104"/>
  <c r="G102" i="104" s="1"/>
  <c r="F99" i="104"/>
  <c r="G99" i="104" s="1"/>
  <c r="F96" i="104"/>
  <c r="G96" i="104" s="1"/>
  <c r="F92" i="104"/>
  <c r="G92" i="104" s="1"/>
  <c r="F88" i="104"/>
  <c r="G88" i="104" s="1"/>
  <c r="F84" i="104"/>
  <c r="G84" i="104" s="1"/>
  <c r="F98" i="104"/>
  <c r="G98" i="104" s="1"/>
  <c r="F97" i="104"/>
  <c r="G97" i="104" s="1"/>
  <c r="F94" i="104"/>
  <c r="G94" i="104" s="1"/>
  <c r="F93" i="104"/>
  <c r="G93" i="104" s="1"/>
  <c r="F90" i="104"/>
  <c r="G90" i="104" s="1"/>
  <c r="F89" i="104"/>
  <c r="G89" i="104" s="1"/>
  <c r="F86" i="104"/>
  <c r="G86" i="104" s="1"/>
  <c r="F85" i="104"/>
  <c r="G85" i="104" s="1"/>
  <c r="F82" i="104"/>
  <c r="G82" i="104" s="1"/>
  <c r="F81" i="104"/>
  <c r="G81" i="104" s="1"/>
  <c r="F78" i="104"/>
  <c r="G78" i="104" s="1"/>
  <c r="F77" i="104"/>
  <c r="G77" i="104" s="1"/>
  <c r="F74" i="104"/>
  <c r="G74" i="104" s="1"/>
  <c r="F73" i="104"/>
  <c r="G73" i="104" s="1"/>
  <c r="F70" i="104"/>
  <c r="G70" i="104" s="1"/>
  <c r="F69" i="104"/>
  <c r="G69" i="104" s="1"/>
  <c r="F66" i="104"/>
  <c r="G66" i="104" s="1"/>
  <c r="B18" i="104"/>
  <c r="C21" i="104"/>
  <c r="F28" i="104"/>
  <c r="E31" i="104"/>
  <c r="F63" i="104"/>
  <c r="G63" i="104" s="1"/>
  <c r="F67" i="104"/>
  <c r="G67" i="104" s="1"/>
  <c r="R25" i="104"/>
  <c r="F27" i="104"/>
  <c r="H58" i="104"/>
  <c r="F72" i="104"/>
  <c r="G72" i="104" s="1"/>
  <c r="F80" i="104"/>
  <c r="G80" i="104" s="1"/>
  <c r="B20" i="104"/>
  <c r="C22" i="104"/>
  <c r="F68" i="104"/>
  <c r="G68" i="104" s="1"/>
  <c r="B21" i="104"/>
  <c r="R26" i="104"/>
  <c r="F64" i="104"/>
  <c r="G64" i="104" s="1"/>
  <c r="F76" i="104"/>
  <c r="G76" i="104" s="1"/>
  <c r="B18" i="102"/>
  <c r="B19" i="102"/>
  <c r="B20" i="102"/>
  <c r="R26" i="102"/>
  <c r="E31" i="102"/>
  <c r="G58" i="102"/>
  <c r="G57" i="102"/>
  <c r="H57" i="102"/>
  <c r="B23" i="102"/>
  <c r="I120" i="102"/>
  <c r="J120" i="102"/>
  <c r="J122" i="102" s="1"/>
  <c r="F113" i="102"/>
  <c r="G113" i="102" s="1"/>
  <c r="F109" i="102"/>
  <c r="G109" i="102" s="1"/>
  <c r="F105" i="102"/>
  <c r="G105" i="102" s="1"/>
  <c r="F101" i="102"/>
  <c r="G101" i="102" s="1"/>
  <c r="F95" i="102"/>
  <c r="G95" i="102" s="1"/>
  <c r="F91" i="102"/>
  <c r="G91" i="102" s="1"/>
  <c r="F87" i="102"/>
  <c r="G87" i="102" s="1"/>
  <c r="F111" i="102"/>
  <c r="G111" i="102" s="1"/>
  <c r="F107" i="102"/>
  <c r="G107" i="102" s="1"/>
  <c r="F103" i="102"/>
  <c r="G103" i="102" s="1"/>
  <c r="F99" i="102"/>
  <c r="G99" i="102" s="1"/>
  <c r="F97" i="102"/>
  <c r="G97" i="102" s="1"/>
  <c r="F93" i="102"/>
  <c r="G93" i="102" s="1"/>
  <c r="F89" i="102"/>
  <c r="G89" i="102" s="1"/>
  <c r="F85" i="102"/>
  <c r="G85" i="102" s="1"/>
  <c r="F81" i="102"/>
  <c r="G81" i="102" s="1"/>
  <c r="F77" i="102"/>
  <c r="G77" i="102" s="1"/>
  <c r="F73" i="102"/>
  <c r="G73" i="102" s="1"/>
  <c r="F69" i="102"/>
  <c r="G69" i="102" s="1"/>
  <c r="F86" i="102"/>
  <c r="G86" i="102" s="1"/>
  <c r="F82" i="102"/>
  <c r="G82" i="102" s="1"/>
  <c r="F78" i="102"/>
  <c r="G78" i="102" s="1"/>
  <c r="F74" i="102"/>
  <c r="G74" i="102" s="1"/>
  <c r="F70" i="102"/>
  <c r="G70" i="102" s="1"/>
  <c r="F67" i="102"/>
  <c r="G67" i="102" s="1"/>
  <c r="F63" i="102"/>
  <c r="G63" i="102" s="1"/>
  <c r="B21" i="102"/>
  <c r="F96" i="102"/>
  <c r="G96" i="102" s="1"/>
  <c r="F92" i="102"/>
  <c r="G92" i="102" s="1"/>
  <c r="F88" i="102"/>
  <c r="G88" i="102" s="1"/>
  <c r="F84" i="102"/>
  <c r="G84" i="102" s="1"/>
  <c r="F83" i="102"/>
  <c r="G83" i="102" s="1"/>
  <c r="F80" i="102"/>
  <c r="G80" i="102" s="1"/>
  <c r="F79" i="102"/>
  <c r="G79" i="102" s="1"/>
  <c r="F76" i="102"/>
  <c r="G76" i="102" s="1"/>
  <c r="F75" i="102"/>
  <c r="G75" i="102" s="1"/>
  <c r="F72" i="102"/>
  <c r="G72" i="102" s="1"/>
  <c r="F71" i="102"/>
  <c r="G71" i="102" s="1"/>
  <c r="F66" i="102"/>
  <c r="G66" i="102" s="1"/>
  <c r="F112" i="102"/>
  <c r="G112" i="102" s="1"/>
  <c r="F110" i="102"/>
  <c r="G110" i="102" s="1"/>
  <c r="F108" i="102"/>
  <c r="G108" i="102" s="1"/>
  <c r="F106" i="102"/>
  <c r="G106" i="102" s="1"/>
  <c r="F104" i="102"/>
  <c r="G104" i="102" s="1"/>
  <c r="F102" i="102"/>
  <c r="G102" i="102" s="1"/>
  <c r="F100" i="102"/>
  <c r="G100" i="102" s="1"/>
  <c r="F98" i="102"/>
  <c r="G98" i="102" s="1"/>
  <c r="F94" i="102"/>
  <c r="G94" i="102" s="1"/>
  <c r="F90" i="102"/>
  <c r="G90" i="102" s="1"/>
  <c r="F68" i="102"/>
  <c r="G68" i="102" s="1"/>
  <c r="C22" i="102"/>
  <c r="F65" i="102"/>
  <c r="G65" i="102" s="1"/>
  <c r="U5" i="102"/>
  <c r="V5" i="102" s="1"/>
  <c r="R25" i="102"/>
  <c r="J123" i="102"/>
  <c r="U14" i="101"/>
  <c r="B27" i="101"/>
  <c r="U7" i="101"/>
  <c r="V7" i="101" s="1"/>
  <c r="C22" i="101"/>
  <c r="B37" i="101"/>
  <c r="B38" i="101" s="1"/>
  <c r="X14" i="101" s="1"/>
  <c r="J120" i="101"/>
  <c r="B13" i="101" s="1"/>
  <c r="I120" i="101"/>
  <c r="I122" i="101" s="1"/>
  <c r="F111" i="101"/>
  <c r="G111" i="101" s="1"/>
  <c r="F107" i="101"/>
  <c r="G107" i="101" s="1"/>
  <c r="F103" i="101"/>
  <c r="G103" i="101" s="1"/>
  <c r="F99" i="101"/>
  <c r="G99" i="101" s="1"/>
  <c r="F97" i="101"/>
  <c r="G97" i="101" s="1"/>
  <c r="F93" i="101"/>
  <c r="G93" i="101" s="1"/>
  <c r="F89" i="101"/>
  <c r="G89" i="101" s="1"/>
  <c r="F85" i="101"/>
  <c r="G85" i="101" s="1"/>
  <c r="F81" i="101"/>
  <c r="G81" i="101" s="1"/>
  <c r="F77" i="101"/>
  <c r="G77" i="101" s="1"/>
  <c r="F73" i="101"/>
  <c r="G73" i="101" s="1"/>
  <c r="F69" i="101"/>
  <c r="G69" i="101" s="1"/>
  <c r="F112" i="101"/>
  <c r="G112" i="101" s="1"/>
  <c r="F104" i="101"/>
  <c r="G104" i="101" s="1"/>
  <c r="F68" i="101"/>
  <c r="G68" i="101" s="1"/>
  <c r="F64" i="101"/>
  <c r="G64" i="101" s="1"/>
  <c r="F110" i="101"/>
  <c r="G110" i="101" s="1"/>
  <c r="F102" i="101"/>
  <c r="G102" i="101" s="1"/>
  <c r="F96" i="101"/>
  <c r="G96" i="101" s="1"/>
  <c r="F94" i="101"/>
  <c r="G94" i="101" s="1"/>
  <c r="F91" i="101"/>
  <c r="G91" i="101" s="1"/>
  <c r="F88" i="101"/>
  <c r="G88" i="101" s="1"/>
  <c r="F86" i="101"/>
  <c r="G86" i="101" s="1"/>
  <c r="F83" i="101"/>
  <c r="G83" i="101" s="1"/>
  <c r="F80" i="101"/>
  <c r="G80" i="101" s="1"/>
  <c r="F78" i="101"/>
  <c r="G78" i="101" s="1"/>
  <c r="F75" i="101"/>
  <c r="G75" i="101" s="1"/>
  <c r="F72" i="101"/>
  <c r="G72" i="101" s="1"/>
  <c r="F70" i="101"/>
  <c r="G70" i="101" s="1"/>
  <c r="B22" i="101"/>
  <c r="F109" i="101"/>
  <c r="G109" i="101" s="1"/>
  <c r="F108" i="101"/>
  <c r="G108" i="101" s="1"/>
  <c r="F101" i="101"/>
  <c r="G101" i="101" s="1"/>
  <c r="F100" i="101"/>
  <c r="G100" i="101" s="1"/>
  <c r="F105" i="101"/>
  <c r="G105" i="101" s="1"/>
  <c r="B18" i="101"/>
  <c r="F63" i="101"/>
  <c r="G63" i="101" s="1"/>
  <c r="F65" i="101"/>
  <c r="G65" i="101" s="1"/>
  <c r="F66" i="101"/>
  <c r="G66" i="101" s="1"/>
  <c r="F67" i="101"/>
  <c r="G67" i="101" s="1"/>
  <c r="F79" i="101"/>
  <c r="G79" i="101" s="1"/>
  <c r="F82" i="101"/>
  <c r="G82" i="101" s="1"/>
  <c r="F84" i="101"/>
  <c r="G84" i="101" s="1"/>
  <c r="F90" i="101"/>
  <c r="G90" i="101" s="1"/>
  <c r="F92" i="101"/>
  <c r="G92" i="101" s="1"/>
  <c r="F98" i="101"/>
  <c r="G98" i="101" s="1"/>
  <c r="F113" i="101"/>
  <c r="G113" i="101" s="1"/>
  <c r="R25" i="101"/>
  <c r="B29" i="101" s="1"/>
  <c r="B19" i="101"/>
  <c r="B21" i="101"/>
  <c r="R27" i="101"/>
  <c r="B30" i="101" s="1"/>
  <c r="G57" i="101"/>
  <c r="F27" i="101"/>
  <c r="E30" i="101"/>
  <c r="E31" i="101"/>
  <c r="J123" i="101"/>
  <c r="U20" i="100"/>
  <c r="H57" i="100"/>
  <c r="B23" i="100"/>
  <c r="H58" i="100"/>
  <c r="U5" i="100"/>
  <c r="V5" i="100" s="1"/>
  <c r="U14" i="100"/>
  <c r="C21" i="100"/>
  <c r="F27" i="100"/>
  <c r="E31" i="100"/>
  <c r="U21" i="100"/>
  <c r="R25" i="100"/>
  <c r="R27" i="100"/>
  <c r="B30" i="100" s="1"/>
  <c r="F28" i="100"/>
  <c r="I120" i="100"/>
  <c r="I122" i="100" s="1"/>
  <c r="J120" i="100"/>
  <c r="B13" i="100" s="1"/>
  <c r="U39" i="100"/>
  <c r="U19" i="100"/>
  <c r="U15" i="100"/>
  <c r="F113" i="100"/>
  <c r="G113" i="100" s="1"/>
  <c r="F109" i="100"/>
  <c r="G109" i="100" s="1"/>
  <c r="F105" i="100"/>
  <c r="G105" i="100" s="1"/>
  <c r="F101" i="100"/>
  <c r="G101" i="100" s="1"/>
  <c r="F95" i="100"/>
  <c r="G95" i="100" s="1"/>
  <c r="F91" i="100"/>
  <c r="G91" i="100" s="1"/>
  <c r="F87" i="100"/>
  <c r="G87" i="100" s="1"/>
  <c r="F83" i="100"/>
  <c r="G83" i="100" s="1"/>
  <c r="F79" i="100"/>
  <c r="G79" i="100" s="1"/>
  <c r="F75" i="100"/>
  <c r="G75" i="100" s="1"/>
  <c r="F71" i="100"/>
  <c r="G71" i="100" s="1"/>
  <c r="F111" i="100"/>
  <c r="G111" i="100" s="1"/>
  <c r="F107" i="100"/>
  <c r="G107" i="100" s="1"/>
  <c r="F103" i="100"/>
  <c r="G103" i="100" s="1"/>
  <c r="F99" i="100"/>
  <c r="G99" i="100" s="1"/>
  <c r="F97" i="100"/>
  <c r="G97" i="100" s="1"/>
  <c r="F93" i="100"/>
  <c r="G93" i="100" s="1"/>
  <c r="F112" i="100"/>
  <c r="G112" i="100" s="1"/>
  <c r="F108" i="100"/>
  <c r="G108" i="100" s="1"/>
  <c r="F104" i="100"/>
  <c r="G104" i="100" s="1"/>
  <c r="F100" i="100"/>
  <c r="G100" i="100" s="1"/>
  <c r="F98" i="100"/>
  <c r="G98" i="100" s="1"/>
  <c r="F94" i="100"/>
  <c r="G94" i="100" s="1"/>
  <c r="F92" i="100"/>
  <c r="G92" i="100" s="1"/>
  <c r="F88" i="100"/>
  <c r="G88" i="100" s="1"/>
  <c r="F84" i="100"/>
  <c r="G84" i="100" s="1"/>
  <c r="F80" i="100"/>
  <c r="G80" i="100" s="1"/>
  <c r="F76" i="100"/>
  <c r="G76" i="100" s="1"/>
  <c r="F72" i="100"/>
  <c r="G72" i="100" s="1"/>
  <c r="F68" i="100"/>
  <c r="G68" i="100" s="1"/>
  <c r="F67" i="100"/>
  <c r="G67" i="100" s="1"/>
  <c r="F63" i="100"/>
  <c r="G63" i="100" s="1"/>
  <c r="B21" i="100"/>
  <c r="F110" i="100"/>
  <c r="G110" i="100" s="1"/>
  <c r="F102" i="100"/>
  <c r="G102" i="100" s="1"/>
  <c r="F90" i="100"/>
  <c r="G90" i="100" s="1"/>
  <c r="F89" i="100"/>
  <c r="G89" i="100" s="1"/>
  <c r="F86" i="100"/>
  <c r="G86" i="100" s="1"/>
  <c r="F85" i="100"/>
  <c r="G85" i="100" s="1"/>
  <c r="F82" i="100"/>
  <c r="G82" i="100" s="1"/>
  <c r="F81" i="100"/>
  <c r="G81" i="100" s="1"/>
  <c r="F78" i="100"/>
  <c r="G78" i="100" s="1"/>
  <c r="F77" i="100"/>
  <c r="G77" i="100" s="1"/>
  <c r="F74" i="100"/>
  <c r="G74" i="100" s="1"/>
  <c r="F73" i="100"/>
  <c r="G73" i="100" s="1"/>
  <c r="F70" i="100"/>
  <c r="G70" i="100" s="1"/>
  <c r="F69" i="100"/>
  <c r="G69" i="100" s="1"/>
  <c r="F66" i="100"/>
  <c r="G66" i="100" s="1"/>
  <c r="F96" i="100"/>
  <c r="G96" i="100" s="1"/>
  <c r="F106" i="100"/>
  <c r="G106" i="100" s="1"/>
  <c r="F64" i="100"/>
  <c r="G64" i="100" s="1"/>
  <c r="B18" i="100"/>
  <c r="B19" i="100"/>
  <c r="B20" i="100"/>
  <c r="U23" i="100"/>
  <c r="J123" i="100"/>
  <c r="J122" i="100"/>
  <c r="I58" i="99"/>
  <c r="I57" i="99"/>
  <c r="U9" i="99"/>
  <c r="V9" i="99" s="1"/>
  <c r="H57" i="99"/>
  <c r="B20" i="99"/>
  <c r="R25" i="99"/>
  <c r="F27" i="99"/>
  <c r="B21" i="99"/>
  <c r="I120" i="99"/>
  <c r="J120" i="99"/>
  <c r="B13" i="99" s="1"/>
  <c r="F113" i="99"/>
  <c r="G113" i="99" s="1"/>
  <c r="F109" i="99"/>
  <c r="G109" i="99" s="1"/>
  <c r="F105" i="99"/>
  <c r="G105" i="99" s="1"/>
  <c r="F101" i="99"/>
  <c r="G101" i="99" s="1"/>
  <c r="F95" i="99"/>
  <c r="G95" i="99" s="1"/>
  <c r="F91" i="99"/>
  <c r="G91" i="99" s="1"/>
  <c r="F87" i="99"/>
  <c r="G87" i="99" s="1"/>
  <c r="F83" i="99"/>
  <c r="G83" i="99" s="1"/>
  <c r="F79" i="99"/>
  <c r="G79" i="99" s="1"/>
  <c r="F75" i="99"/>
  <c r="G75" i="99" s="1"/>
  <c r="F71" i="99"/>
  <c r="G71" i="99" s="1"/>
  <c r="F111" i="99"/>
  <c r="G111" i="99" s="1"/>
  <c r="F107" i="99"/>
  <c r="G107" i="99" s="1"/>
  <c r="F103" i="99"/>
  <c r="G103" i="99" s="1"/>
  <c r="F99" i="99"/>
  <c r="G99" i="99" s="1"/>
  <c r="F97" i="99"/>
  <c r="G97" i="99" s="1"/>
  <c r="F112" i="99"/>
  <c r="G112" i="99" s="1"/>
  <c r="F108" i="99"/>
  <c r="G108" i="99" s="1"/>
  <c r="F104" i="99"/>
  <c r="G104" i="99" s="1"/>
  <c r="F100" i="99"/>
  <c r="G100" i="99" s="1"/>
  <c r="F96" i="99"/>
  <c r="G96" i="99" s="1"/>
  <c r="F90" i="99"/>
  <c r="G90" i="99" s="1"/>
  <c r="F89" i="99"/>
  <c r="G89" i="99" s="1"/>
  <c r="F86" i="99"/>
  <c r="G86" i="99" s="1"/>
  <c r="F85" i="99"/>
  <c r="G85" i="99" s="1"/>
  <c r="F82" i="99"/>
  <c r="G82" i="99" s="1"/>
  <c r="F81" i="99"/>
  <c r="G81" i="99" s="1"/>
  <c r="F78" i="99"/>
  <c r="G78" i="99" s="1"/>
  <c r="F77" i="99"/>
  <c r="G77" i="99" s="1"/>
  <c r="F74" i="99"/>
  <c r="G74" i="99" s="1"/>
  <c r="F73" i="99"/>
  <c r="G73" i="99" s="1"/>
  <c r="F70" i="99"/>
  <c r="G70" i="99" s="1"/>
  <c r="F69" i="99"/>
  <c r="G69" i="99" s="1"/>
  <c r="F66" i="99"/>
  <c r="G66" i="99" s="1"/>
  <c r="F110" i="99"/>
  <c r="G110" i="99" s="1"/>
  <c r="F102" i="99"/>
  <c r="G102" i="99" s="1"/>
  <c r="F93" i="99"/>
  <c r="G93" i="99" s="1"/>
  <c r="F65" i="99"/>
  <c r="G65" i="99" s="1"/>
  <c r="F106" i="99"/>
  <c r="G106" i="99" s="1"/>
  <c r="F98" i="99"/>
  <c r="G98" i="99" s="1"/>
  <c r="F94" i="99"/>
  <c r="G94" i="99" s="1"/>
  <c r="F92" i="99"/>
  <c r="G92" i="99" s="1"/>
  <c r="F88" i="99"/>
  <c r="G88" i="99" s="1"/>
  <c r="F84" i="99"/>
  <c r="G84" i="99" s="1"/>
  <c r="F80" i="99"/>
  <c r="G80" i="99" s="1"/>
  <c r="F76" i="99"/>
  <c r="G76" i="99" s="1"/>
  <c r="F72" i="99"/>
  <c r="G72" i="99" s="1"/>
  <c r="F68" i="99"/>
  <c r="G68" i="99" s="1"/>
  <c r="F67" i="99"/>
  <c r="G67" i="99" s="1"/>
  <c r="F63" i="99"/>
  <c r="G63" i="99" s="1"/>
  <c r="B18" i="99"/>
  <c r="C21" i="99"/>
  <c r="R26" i="99"/>
  <c r="F64" i="99"/>
  <c r="G64" i="99" s="1"/>
  <c r="F28" i="99"/>
  <c r="G57" i="98"/>
  <c r="U7" i="98"/>
  <c r="V7" i="98" s="1"/>
  <c r="F68" i="98"/>
  <c r="G68" i="98" s="1"/>
  <c r="C22" i="98"/>
  <c r="I58" i="98" s="1"/>
  <c r="B20" i="98"/>
  <c r="R26" i="98"/>
  <c r="B27" i="98" s="1"/>
  <c r="B37" i="98"/>
  <c r="U14" i="98"/>
  <c r="F113" i="98"/>
  <c r="G113" i="98" s="1"/>
  <c r="F109" i="98"/>
  <c r="G109" i="98" s="1"/>
  <c r="F105" i="98"/>
  <c r="G105" i="98" s="1"/>
  <c r="F101" i="98"/>
  <c r="G101" i="98" s="1"/>
  <c r="F95" i="98"/>
  <c r="G95" i="98" s="1"/>
  <c r="F91" i="98"/>
  <c r="G91" i="98" s="1"/>
  <c r="F87" i="98"/>
  <c r="G87" i="98" s="1"/>
  <c r="F83" i="98"/>
  <c r="G83" i="98" s="1"/>
  <c r="F79" i="98"/>
  <c r="G79" i="98" s="1"/>
  <c r="F75" i="98"/>
  <c r="G75" i="98" s="1"/>
  <c r="F71" i="98"/>
  <c r="G71" i="98" s="1"/>
  <c r="F111" i="98"/>
  <c r="G111" i="98" s="1"/>
  <c r="F107" i="98"/>
  <c r="G107" i="98" s="1"/>
  <c r="F103" i="98"/>
  <c r="G103" i="98" s="1"/>
  <c r="F99" i="98"/>
  <c r="G99" i="98" s="1"/>
  <c r="F97" i="98"/>
  <c r="G97" i="98" s="1"/>
  <c r="F93" i="98"/>
  <c r="G93" i="98" s="1"/>
  <c r="F89" i="98"/>
  <c r="G89" i="98" s="1"/>
  <c r="F85" i="98"/>
  <c r="G85" i="98" s="1"/>
  <c r="F81" i="98"/>
  <c r="G81" i="98" s="1"/>
  <c r="F77" i="98"/>
  <c r="G77" i="98" s="1"/>
  <c r="F73" i="98"/>
  <c r="G73" i="98" s="1"/>
  <c r="F65" i="98"/>
  <c r="G65" i="98" s="1"/>
  <c r="B22" i="98"/>
  <c r="B19" i="98"/>
  <c r="F112" i="98"/>
  <c r="G112" i="98" s="1"/>
  <c r="F110" i="98"/>
  <c r="G110" i="98" s="1"/>
  <c r="F108" i="98"/>
  <c r="G108" i="98" s="1"/>
  <c r="F106" i="98"/>
  <c r="G106" i="98" s="1"/>
  <c r="F104" i="98"/>
  <c r="G104" i="98" s="1"/>
  <c r="F102" i="98"/>
  <c r="G102" i="98" s="1"/>
  <c r="F100" i="98"/>
  <c r="G100" i="98" s="1"/>
  <c r="F98" i="98"/>
  <c r="G98" i="98" s="1"/>
  <c r="F94" i="98"/>
  <c r="G94" i="98" s="1"/>
  <c r="F90" i="98"/>
  <c r="G90" i="98" s="1"/>
  <c r="F96" i="98"/>
  <c r="G96" i="98" s="1"/>
  <c r="F92" i="98"/>
  <c r="G92" i="98" s="1"/>
  <c r="F88" i="98"/>
  <c r="G88" i="98" s="1"/>
  <c r="F84" i="98"/>
  <c r="G84" i="98" s="1"/>
  <c r="F80" i="98"/>
  <c r="G80" i="98" s="1"/>
  <c r="F76" i="98"/>
  <c r="G76" i="98" s="1"/>
  <c r="F72" i="98"/>
  <c r="G72" i="98" s="1"/>
  <c r="F69" i="98"/>
  <c r="G69" i="98" s="1"/>
  <c r="F66" i="98"/>
  <c r="G66" i="98" s="1"/>
  <c r="B18" i="98"/>
  <c r="B21" i="98"/>
  <c r="G58" i="98"/>
  <c r="F63" i="98"/>
  <c r="G63" i="98" s="1"/>
  <c r="F67" i="98"/>
  <c r="G67" i="98" s="1"/>
  <c r="F70" i="98"/>
  <c r="G70" i="98" s="1"/>
  <c r="F74" i="98"/>
  <c r="G74" i="98" s="1"/>
  <c r="F78" i="98"/>
  <c r="G78" i="98" s="1"/>
  <c r="F82" i="98"/>
  <c r="G82" i="98" s="1"/>
  <c r="F86" i="98"/>
  <c r="G86" i="98" s="1"/>
  <c r="I120" i="98"/>
  <c r="J120" i="98"/>
  <c r="J122" i="98" s="1"/>
  <c r="R25" i="98"/>
  <c r="R27" i="98"/>
  <c r="B30" i="98" s="1"/>
  <c r="F27" i="98"/>
  <c r="E30" i="98"/>
  <c r="E31" i="98"/>
  <c r="R26" i="97"/>
  <c r="B18" i="97"/>
  <c r="B19" i="97"/>
  <c r="B21" i="97"/>
  <c r="F68" i="97"/>
  <c r="G68" i="97" s="1"/>
  <c r="F72" i="97"/>
  <c r="G72" i="97" s="1"/>
  <c r="F76" i="97"/>
  <c r="G76" i="97" s="1"/>
  <c r="F80" i="97"/>
  <c r="G80" i="97" s="1"/>
  <c r="F84" i="97"/>
  <c r="G84" i="97" s="1"/>
  <c r="F88" i="97"/>
  <c r="G88" i="97" s="1"/>
  <c r="F113" i="97"/>
  <c r="G113" i="97" s="1"/>
  <c r="F109" i="97"/>
  <c r="G109" i="97" s="1"/>
  <c r="F105" i="97"/>
  <c r="G105" i="97" s="1"/>
  <c r="F101" i="97"/>
  <c r="G101" i="97" s="1"/>
  <c r="F95" i="97"/>
  <c r="G95" i="97" s="1"/>
  <c r="F91" i="97"/>
  <c r="G91" i="97" s="1"/>
  <c r="F87" i="97"/>
  <c r="G87" i="97" s="1"/>
  <c r="F83" i="97"/>
  <c r="G83" i="97" s="1"/>
  <c r="F79" i="97"/>
  <c r="G79" i="97" s="1"/>
  <c r="F75" i="97"/>
  <c r="G75" i="97" s="1"/>
  <c r="F71" i="97"/>
  <c r="G71" i="97" s="1"/>
  <c r="F111" i="97"/>
  <c r="G111" i="97" s="1"/>
  <c r="F107" i="97"/>
  <c r="G107" i="97" s="1"/>
  <c r="F98" i="97"/>
  <c r="G98" i="97" s="1"/>
  <c r="F97" i="97"/>
  <c r="G97" i="97" s="1"/>
  <c r="F94" i="97"/>
  <c r="G94" i="97" s="1"/>
  <c r="F93" i="97"/>
  <c r="G93" i="97" s="1"/>
  <c r="F90" i="97"/>
  <c r="G90" i="97" s="1"/>
  <c r="F89" i="97"/>
  <c r="G89" i="97" s="1"/>
  <c r="F86" i="97"/>
  <c r="G86" i="97" s="1"/>
  <c r="F85" i="97"/>
  <c r="G85" i="97" s="1"/>
  <c r="F82" i="97"/>
  <c r="G82" i="97" s="1"/>
  <c r="F81" i="97"/>
  <c r="G81" i="97" s="1"/>
  <c r="F78" i="97"/>
  <c r="G78" i="97" s="1"/>
  <c r="F77" i="97"/>
  <c r="G77" i="97" s="1"/>
  <c r="F74" i="97"/>
  <c r="G74" i="97" s="1"/>
  <c r="F73" i="97"/>
  <c r="G73" i="97" s="1"/>
  <c r="F70" i="97"/>
  <c r="G70" i="97" s="1"/>
  <c r="F69" i="97"/>
  <c r="G69" i="97" s="1"/>
  <c r="F66" i="97"/>
  <c r="G66" i="97" s="1"/>
  <c r="C22" i="97"/>
  <c r="F103" i="97"/>
  <c r="G103" i="97" s="1"/>
  <c r="F100" i="97"/>
  <c r="G100" i="97" s="1"/>
  <c r="F65" i="97"/>
  <c r="G65" i="97" s="1"/>
  <c r="F102" i="97"/>
  <c r="G102" i="97" s="1"/>
  <c r="C21" i="97"/>
  <c r="B22" i="97"/>
  <c r="E31" i="97"/>
  <c r="R27" i="97"/>
  <c r="B30" i="97" s="1"/>
  <c r="B36" i="97"/>
  <c r="B37" i="97"/>
  <c r="F64" i="97"/>
  <c r="G64" i="97" s="1"/>
  <c r="F96" i="97"/>
  <c r="G96" i="97" s="1"/>
  <c r="I120" i="97"/>
  <c r="J120" i="97"/>
  <c r="B13" i="97" s="1"/>
  <c r="F27" i="97"/>
  <c r="E30" i="97"/>
  <c r="B27" i="96"/>
  <c r="U16" i="96"/>
  <c r="U14" i="96"/>
  <c r="U36" i="96"/>
  <c r="B20" i="96"/>
  <c r="B21" i="96"/>
  <c r="B22" i="96"/>
  <c r="E31" i="96"/>
  <c r="F70" i="96"/>
  <c r="G70" i="96" s="1"/>
  <c r="F74" i="96"/>
  <c r="G74" i="96" s="1"/>
  <c r="F78" i="96"/>
  <c r="G78" i="96" s="1"/>
  <c r="F80" i="96"/>
  <c r="G80" i="96" s="1"/>
  <c r="I120" i="96"/>
  <c r="J120" i="96"/>
  <c r="F113" i="96"/>
  <c r="G113" i="96" s="1"/>
  <c r="F109" i="96"/>
  <c r="G109" i="96" s="1"/>
  <c r="F105" i="96"/>
  <c r="G105" i="96" s="1"/>
  <c r="F101" i="96"/>
  <c r="G101" i="96" s="1"/>
  <c r="F95" i="96"/>
  <c r="G95" i="96" s="1"/>
  <c r="F91" i="96"/>
  <c r="G91" i="96" s="1"/>
  <c r="F87" i="96"/>
  <c r="G87" i="96" s="1"/>
  <c r="F83" i="96"/>
  <c r="G83" i="96" s="1"/>
  <c r="F111" i="96"/>
  <c r="G111" i="96" s="1"/>
  <c r="F107" i="96"/>
  <c r="G107" i="96" s="1"/>
  <c r="F103" i="96"/>
  <c r="G103" i="96" s="1"/>
  <c r="F99" i="96"/>
  <c r="G99" i="96" s="1"/>
  <c r="F97" i="96"/>
  <c r="G97" i="96" s="1"/>
  <c r="F93" i="96"/>
  <c r="G93" i="96" s="1"/>
  <c r="F89" i="96"/>
  <c r="G89" i="96" s="1"/>
  <c r="F85" i="96"/>
  <c r="G85" i="96" s="1"/>
  <c r="F81" i="96"/>
  <c r="G81" i="96" s="1"/>
  <c r="F77" i="96"/>
  <c r="G77" i="96" s="1"/>
  <c r="F73" i="96"/>
  <c r="G73" i="96" s="1"/>
  <c r="F69" i="96"/>
  <c r="G69" i="96" s="1"/>
  <c r="F79" i="96"/>
  <c r="G79" i="96" s="1"/>
  <c r="F76" i="96"/>
  <c r="G76" i="96" s="1"/>
  <c r="F75" i="96"/>
  <c r="G75" i="96" s="1"/>
  <c r="F72" i="96"/>
  <c r="G72" i="96" s="1"/>
  <c r="F71" i="96"/>
  <c r="G71" i="96" s="1"/>
  <c r="F66" i="96"/>
  <c r="G66" i="96" s="1"/>
  <c r="C21" i="96"/>
  <c r="B18" i="96"/>
  <c r="F96" i="96"/>
  <c r="G96" i="96" s="1"/>
  <c r="F92" i="96"/>
  <c r="G92" i="96" s="1"/>
  <c r="F88" i="96"/>
  <c r="G88" i="96" s="1"/>
  <c r="F68" i="96"/>
  <c r="G68" i="96" s="1"/>
  <c r="F64" i="96"/>
  <c r="G64" i="96" s="1"/>
  <c r="F112" i="96"/>
  <c r="G112" i="96" s="1"/>
  <c r="F110" i="96"/>
  <c r="G110" i="96" s="1"/>
  <c r="F108" i="96"/>
  <c r="G108" i="96" s="1"/>
  <c r="F106" i="96"/>
  <c r="G106" i="96" s="1"/>
  <c r="F104" i="96"/>
  <c r="G104" i="96" s="1"/>
  <c r="F102" i="96"/>
  <c r="G102" i="96" s="1"/>
  <c r="F100" i="96"/>
  <c r="G100" i="96" s="1"/>
  <c r="F98" i="96"/>
  <c r="G98" i="96" s="1"/>
  <c r="F94" i="96"/>
  <c r="G94" i="96" s="1"/>
  <c r="C22" i="96"/>
  <c r="R25" i="96"/>
  <c r="R27" i="96"/>
  <c r="B30" i="96" s="1"/>
  <c r="F65" i="96"/>
  <c r="G65" i="96" s="1"/>
  <c r="E30" i="96"/>
  <c r="F82" i="96"/>
  <c r="G82" i="96" s="1"/>
  <c r="F86" i="96"/>
  <c r="G86" i="96" s="1"/>
  <c r="F90" i="96"/>
  <c r="G90" i="96" s="1"/>
  <c r="F27" i="96"/>
  <c r="F63" i="96"/>
  <c r="G63" i="96" s="1"/>
  <c r="F67" i="96"/>
  <c r="G67" i="96" s="1"/>
  <c r="B27" i="95"/>
  <c r="C22" i="95"/>
  <c r="R25" i="95"/>
  <c r="B29" i="95" s="1"/>
  <c r="F28" i="95"/>
  <c r="E31" i="95"/>
  <c r="E30" i="95"/>
  <c r="F27" i="95"/>
  <c r="F64" i="95"/>
  <c r="G64" i="95" s="1"/>
  <c r="B21" i="95"/>
  <c r="R27" i="95"/>
  <c r="B30" i="95" s="1"/>
  <c r="F72" i="95"/>
  <c r="G72" i="95" s="1"/>
  <c r="F80" i="95"/>
  <c r="G80" i="95" s="1"/>
  <c r="I120" i="95"/>
  <c r="J120" i="95"/>
  <c r="B13" i="95" s="1"/>
  <c r="F113" i="95"/>
  <c r="G113" i="95" s="1"/>
  <c r="F109" i="95"/>
  <c r="G109" i="95" s="1"/>
  <c r="F105" i="95"/>
  <c r="G105" i="95" s="1"/>
  <c r="F101" i="95"/>
  <c r="G101" i="95" s="1"/>
  <c r="F95" i="95"/>
  <c r="G95" i="95" s="1"/>
  <c r="F91" i="95"/>
  <c r="G91" i="95" s="1"/>
  <c r="F87" i="95"/>
  <c r="G87" i="95" s="1"/>
  <c r="F83" i="95"/>
  <c r="G83" i="95" s="1"/>
  <c r="F79" i="95"/>
  <c r="G79" i="95" s="1"/>
  <c r="F75" i="95"/>
  <c r="G75" i="95" s="1"/>
  <c r="F71" i="95"/>
  <c r="G71" i="95" s="1"/>
  <c r="F111" i="95"/>
  <c r="G111" i="95" s="1"/>
  <c r="F107" i="95"/>
  <c r="G107" i="95" s="1"/>
  <c r="F103" i="95"/>
  <c r="G103" i="95" s="1"/>
  <c r="F99" i="95"/>
  <c r="G99" i="95" s="1"/>
  <c r="F97" i="95"/>
  <c r="G97" i="95" s="1"/>
  <c r="F93" i="95"/>
  <c r="G93" i="95" s="1"/>
  <c r="F112" i="95"/>
  <c r="G112" i="95" s="1"/>
  <c r="F108" i="95"/>
  <c r="G108" i="95" s="1"/>
  <c r="F104" i="95"/>
  <c r="G104" i="95" s="1"/>
  <c r="F100" i="95"/>
  <c r="G100" i="95" s="1"/>
  <c r="F94" i="95"/>
  <c r="G94" i="95" s="1"/>
  <c r="F90" i="95"/>
  <c r="G90" i="95" s="1"/>
  <c r="F65" i="95"/>
  <c r="G65" i="95" s="1"/>
  <c r="F110" i="95"/>
  <c r="G110" i="95" s="1"/>
  <c r="F102" i="95"/>
  <c r="G102" i="95" s="1"/>
  <c r="F96" i="95"/>
  <c r="G96" i="95" s="1"/>
  <c r="F92" i="95"/>
  <c r="G92" i="95" s="1"/>
  <c r="F106" i="95"/>
  <c r="G106" i="95" s="1"/>
  <c r="F98" i="95"/>
  <c r="G98" i="95" s="1"/>
  <c r="F89" i="95"/>
  <c r="G89" i="95" s="1"/>
  <c r="F86" i="95"/>
  <c r="G86" i="95" s="1"/>
  <c r="F85" i="95"/>
  <c r="G85" i="95" s="1"/>
  <c r="F82" i="95"/>
  <c r="G82" i="95" s="1"/>
  <c r="F81" i="95"/>
  <c r="G81" i="95" s="1"/>
  <c r="F78" i="95"/>
  <c r="G78" i="95" s="1"/>
  <c r="F77" i="95"/>
  <c r="G77" i="95" s="1"/>
  <c r="F74" i="95"/>
  <c r="G74" i="95" s="1"/>
  <c r="F73" i="95"/>
  <c r="G73" i="95" s="1"/>
  <c r="F70" i="95"/>
  <c r="G70" i="95" s="1"/>
  <c r="F69" i="95"/>
  <c r="G69" i="95" s="1"/>
  <c r="F66" i="95"/>
  <c r="G66" i="95" s="1"/>
  <c r="B18" i="95"/>
  <c r="C21" i="95"/>
  <c r="F63" i="95"/>
  <c r="G63" i="95" s="1"/>
  <c r="F67" i="95"/>
  <c r="G67" i="95" s="1"/>
  <c r="B22" i="95"/>
  <c r="F76" i="95"/>
  <c r="G76" i="95" s="1"/>
  <c r="F84" i="95"/>
  <c r="G84" i="95" s="1"/>
  <c r="U14" i="93"/>
  <c r="F57" i="93"/>
  <c r="F58" i="93"/>
  <c r="U3" i="93"/>
  <c r="V3" i="93" s="1"/>
  <c r="R27" i="93"/>
  <c r="B30" i="93" s="1"/>
  <c r="R26" i="93"/>
  <c r="B19" i="93"/>
  <c r="B22" i="93"/>
  <c r="F66" i="93"/>
  <c r="G66" i="93" s="1"/>
  <c r="I57" i="93"/>
  <c r="I58" i="93"/>
  <c r="F27" i="93"/>
  <c r="E30" i="93"/>
  <c r="I120" i="93"/>
  <c r="J120" i="93"/>
  <c r="B13" i="93" s="1"/>
  <c r="B38" i="93"/>
  <c r="X14" i="93" s="1"/>
  <c r="F113" i="93"/>
  <c r="G113" i="93" s="1"/>
  <c r="F109" i="93"/>
  <c r="G109" i="93" s="1"/>
  <c r="F105" i="93"/>
  <c r="G105" i="93" s="1"/>
  <c r="F101" i="93"/>
  <c r="G101" i="93" s="1"/>
  <c r="F95" i="93"/>
  <c r="G95" i="93" s="1"/>
  <c r="F91" i="93"/>
  <c r="G91" i="93" s="1"/>
  <c r="F87" i="93"/>
  <c r="G87" i="93" s="1"/>
  <c r="F83" i="93"/>
  <c r="G83" i="93" s="1"/>
  <c r="F111" i="93"/>
  <c r="G111" i="93" s="1"/>
  <c r="F107" i="93"/>
  <c r="G107" i="93" s="1"/>
  <c r="F103" i="93"/>
  <c r="G103" i="93" s="1"/>
  <c r="F99" i="93"/>
  <c r="G99" i="93" s="1"/>
  <c r="F97" i="93"/>
  <c r="G97" i="93" s="1"/>
  <c r="F93" i="93"/>
  <c r="G93" i="93" s="1"/>
  <c r="F89" i="93"/>
  <c r="G89" i="93" s="1"/>
  <c r="F85" i="93"/>
  <c r="G85" i="93" s="1"/>
  <c r="F81" i="93"/>
  <c r="G81" i="93" s="1"/>
  <c r="F77" i="93"/>
  <c r="G77" i="93" s="1"/>
  <c r="F73" i="93"/>
  <c r="G73" i="93" s="1"/>
  <c r="F69" i="93"/>
  <c r="G69" i="93" s="1"/>
  <c r="F68" i="93"/>
  <c r="G68" i="93" s="1"/>
  <c r="F64" i="93"/>
  <c r="G64" i="93" s="1"/>
  <c r="F96" i="93"/>
  <c r="G96" i="93" s="1"/>
  <c r="F92" i="93"/>
  <c r="G92" i="93" s="1"/>
  <c r="F88" i="93"/>
  <c r="G88" i="93" s="1"/>
  <c r="F84" i="93"/>
  <c r="G84" i="93" s="1"/>
  <c r="F78" i="93"/>
  <c r="G78" i="93" s="1"/>
  <c r="F74" i="93"/>
  <c r="G74" i="93" s="1"/>
  <c r="F70" i="93"/>
  <c r="G70" i="93" s="1"/>
  <c r="F67" i="93"/>
  <c r="G67" i="93" s="1"/>
  <c r="F63" i="93"/>
  <c r="G63" i="93" s="1"/>
  <c r="F80" i="93"/>
  <c r="G80" i="93" s="1"/>
  <c r="F79" i="93"/>
  <c r="G79" i="93" s="1"/>
  <c r="F76" i="93"/>
  <c r="G76" i="93" s="1"/>
  <c r="F75" i="93"/>
  <c r="G75" i="93" s="1"/>
  <c r="F72" i="93"/>
  <c r="G72" i="93" s="1"/>
  <c r="F71" i="93"/>
  <c r="G71" i="93" s="1"/>
  <c r="F112" i="93"/>
  <c r="G112" i="93" s="1"/>
  <c r="F110" i="93"/>
  <c r="G110" i="93" s="1"/>
  <c r="F108" i="93"/>
  <c r="G108" i="93" s="1"/>
  <c r="F106" i="93"/>
  <c r="G106" i="93" s="1"/>
  <c r="F104" i="93"/>
  <c r="G104" i="93" s="1"/>
  <c r="F102" i="93"/>
  <c r="G102" i="93" s="1"/>
  <c r="F100" i="93"/>
  <c r="G100" i="93" s="1"/>
  <c r="F98" i="93"/>
  <c r="G98" i="93" s="1"/>
  <c r="F94" i="93"/>
  <c r="G94" i="93" s="1"/>
  <c r="F90" i="93"/>
  <c r="G90" i="93" s="1"/>
  <c r="F86" i="93"/>
  <c r="G86" i="93" s="1"/>
  <c r="F82" i="93"/>
  <c r="G82" i="93" s="1"/>
  <c r="F65" i="93"/>
  <c r="G65" i="93" s="1"/>
  <c r="B18" i="93"/>
  <c r="C21" i="93"/>
  <c r="F28" i="93"/>
  <c r="J122" i="93"/>
  <c r="I120" i="92"/>
  <c r="J120" i="92"/>
  <c r="B13" i="92" s="1"/>
  <c r="F113" i="92"/>
  <c r="G113" i="92" s="1"/>
  <c r="F109" i="92"/>
  <c r="G109" i="92" s="1"/>
  <c r="F105" i="92"/>
  <c r="G105" i="92" s="1"/>
  <c r="F101" i="92"/>
  <c r="G101" i="92" s="1"/>
  <c r="F95" i="92"/>
  <c r="G95" i="92" s="1"/>
  <c r="F91" i="92"/>
  <c r="G91" i="92" s="1"/>
  <c r="F87" i="92"/>
  <c r="G87" i="92" s="1"/>
  <c r="F83" i="92"/>
  <c r="G83" i="92" s="1"/>
  <c r="F111" i="92"/>
  <c r="G111" i="92" s="1"/>
  <c r="F107" i="92"/>
  <c r="G107" i="92" s="1"/>
  <c r="F103" i="92"/>
  <c r="G103" i="92" s="1"/>
  <c r="F99" i="92"/>
  <c r="G99" i="92" s="1"/>
  <c r="F97" i="92"/>
  <c r="G97" i="92" s="1"/>
  <c r="F93" i="92"/>
  <c r="G93" i="92" s="1"/>
  <c r="F89" i="92"/>
  <c r="G89" i="92" s="1"/>
  <c r="F85" i="92"/>
  <c r="G85" i="92" s="1"/>
  <c r="F81" i="92"/>
  <c r="G81" i="92" s="1"/>
  <c r="F77" i="92"/>
  <c r="G77" i="92" s="1"/>
  <c r="F73" i="92"/>
  <c r="G73" i="92" s="1"/>
  <c r="F69" i="92"/>
  <c r="G69" i="92" s="1"/>
  <c r="F78" i="92"/>
  <c r="G78" i="92" s="1"/>
  <c r="F74" i="92"/>
  <c r="G74" i="92" s="1"/>
  <c r="F70" i="92"/>
  <c r="G70" i="92" s="1"/>
  <c r="F67" i="92"/>
  <c r="G67" i="92" s="1"/>
  <c r="F96" i="92"/>
  <c r="G96" i="92" s="1"/>
  <c r="F92" i="92"/>
  <c r="G92" i="92" s="1"/>
  <c r="F88" i="92"/>
  <c r="G88" i="92" s="1"/>
  <c r="F84" i="92"/>
  <c r="G84" i="92" s="1"/>
  <c r="F80" i="92"/>
  <c r="G80" i="92" s="1"/>
  <c r="F79" i="92"/>
  <c r="G79" i="92" s="1"/>
  <c r="F76" i="92"/>
  <c r="G76" i="92" s="1"/>
  <c r="F75" i="92"/>
  <c r="G75" i="92" s="1"/>
  <c r="F72" i="92"/>
  <c r="G72" i="92" s="1"/>
  <c r="F71" i="92"/>
  <c r="G71" i="92" s="1"/>
  <c r="F66" i="92"/>
  <c r="G66" i="92" s="1"/>
  <c r="F112" i="92"/>
  <c r="G112" i="92" s="1"/>
  <c r="F110" i="92"/>
  <c r="G110" i="92" s="1"/>
  <c r="F108" i="92"/>
  <c r="G108" i="92" s="1"/>
  <c r="F106" i="92"/>
  <c r="G106" i="92" s="1"/>
  <c r="F104" i="92"/>
  <c r="G104" i="92" s="1"/>
  <c r="B18" i="92"/>
  <c r="C21" i="92"/>
  <c r="R26" i="92"/>
  <c r="R27" i="92"/>
  <c r="B30" i="92" s="1"/>
  <c r="F63" i="92"/>
  <c r="G63" i="92" s="1"/>
  <c r="H58" i="92"/>
  <c r="F65" i="92"/>
  <c r="G65" i="92" s="1"/>
  <c r="B20" i="92"/>
  <c r="C22" i="92"/>
  <c r="E31" i="92"/>
  <c r="E30" i="92"/>
  <c r="F27" i="92"/>
  <c r="H57" i="92"/>
  <c r="F82" i="92"/>
  <c r="G82" i="92" s="1"/>
  <c r="F86" i="92"/>
  <c r="G86" i="92" s="1"/>
  <c r="F90" i="92"/>
  <c r="G90" i="92" s="1"/>
  <c r="F94" i="92"/>
  <c r="G94" i="92" s="1"/>
  <c r="F98" i="92"/>
  <c r="G98" i="92" s="1"/>
  <c r="F100" i="92"/>
  <c r="G100" i="92" s="1"/>
  <c r="F102" i="92"/>
  <c r="G102" i="92" s="1"/>
  <c r="B21" i="92"/>
  <c r="F64" i="92"/>
  <c r="G64" i="92" s="1"/>
  <c r="F68" i="92"/>
  <c r="G68" i="92" s="1"/>
  <c r="J123" i="92"/>
  <c r="F76" i="91"/>
  <c r="G76" i="91" s="1"/>
  <c r="R26" i="91"/>
  <c r="B27" i="91" s="1"/>
  <c r="U14" i="91"/>
  <c r="C22" i="91"/>
  <c r="F72" i="91"/>
  <c r="G72" i="91" s="1"/>
  <c r="R25" i="91"/>
  <c r="B29" i="91" s="1"/>
  <c r="R27" i="91"/>
  <c r="B30" i="91" s="1"/>
  <c r="F28" i="91"/>
  <c r="F71" i="91"/>
  <c r="G71" i="91" s="1"/>
  <c r="B18" i="91"/>
  <c r="B19" i="91"/>
  <c r="B20" i="91"/>
  <c r="E30" i="91"/>
  <c r="I120" i="91"/>
  <c r="J120" i="91"/>
  <c r="I122" i="91" s="1"/>
  <c r="B38" i="91"/>
  <c r="X14" i="91" s="1"/>
  <c r="F113" i="91"/>
  <c r="G113" i="91" s="1"/>
  <c r="F109" i="91"/>
  <c r="G109" i="91" s="1"/>
  <c r="F105" i="91"/>
  <c r="G105" i="91" s="1"/>
  <c r="F101" i="91"/>
  <c r="G101" i="91" s="1"/>
  <c r="F95" i="91"/>
  <c r="G95" i="91" s="1"/>
  <c r="F91" i="91"/>
  <c r="G91" i="91" s="1"/>
  <c r="F87" i="91"/>
  <c r="G87" i="91" s="1"/>
  <c r="F83" i="91"/>
  <c r="G83" i="91" s="1"/>
  <c r="F79" i="91"/>
  <c r="G79" i="91" s="1"/>
  <c r="F111" i="91"/>
  <c r="G111" i="91" s="1"/>
  <c r="F107" i="91"/>
  <c r="G107" i="91" s="1"/>
  <c r="F103" i="91"/>
  <c r="G103" i="91" s="1"/>
  <c r="F99" i="91"/>
  <c r="G99" i="91" s="1"/>
  <c r="F97" i="91"/>
  <c r="G97" i="91" s="1"/>
  <c r="F93" i="91"/>
  <c r="G93" i="91" s="1"/>
  <c r="F89" i="91"/>
  <c r="G89" i="91" s="1"/>
  <c r="F85" i="91"/>
  <c r="G85" i="91" s="1"/>
  <c r="F81" i="91"/>
  <c r="G81" i="91" s="1"/>
  <c r="F77" i="91"/>
  <c r="G77" i="91" s="1"/>
  <c r="F73" i="91"/>
  <c r="G73" i="91" s="1"/>
  <c r="F69" i="91"/>
  <c r="G69" i="91" s="1"/>
  <c r="F68" i="91"/>
  <c r="G68" i="91" s="1"/>
  <c r="F64" i="91"/>
  <c r="G64" i="91" s="1"/>
  <c r="B21" i="91"/>
  <c r="F96" i="91"/>
  <c r="G96" i="91" s="1"/>
  <c r="F92" i="91"/>
  <c r="G92" i="91" s="1"/>
  <c r="F88" i="91"/>
  <c r="G88" i="91" s="1"/>
  <c r="F84" i="91"/>
  <c r="G84" i="91" s="1"/>
  <c r="F80" i="91"/>
  <c r="G80" i="91" s="1"/>
  <c r="F78" i="91"/>
  <c r="G78" i="91" s="1"/>
  <c r="F74" i="91"/>
  <c r="G74" i="91" s="1"/>
  <c r="F70" i="91"/>
  <c r="G70" i="91" s="1"/>
  <c r="F67" i="91"/>
  <c r="G67" i="91" s="1"/>
  <c r="F63" i="91"/>
  <c r="G63" i="91" s="1"/>
  <c r="F112" i="91"/>
  <c r="G112" i="91" s="1"/>
  <c r="F110" i="91"/>
  <c r="G110" i="91" s="1"/>
  <c r="F108" i="91"/>
  <c r="G108" i="91" s="1"/>
  <c r="F106" i="91"/>
  <c r="G106" i="91" s="1"/>
  <c r="F104" i="91"/>
  <c r="G104" i="91" s="1"/>
  <c r="F102" i="91"/>
  <c r="G102" i="91" s="1"/>
  <c r="F100" i="91"/>
  <c r="G100" i="91" s="1"/>
  <c r="F98" i="91"/>
  <c r="G98" i="91" s="1"/>
  <c r="F94" i="91"/>
  <c r="G94" i="91" s="1"/>
  <c r="F90" i="91"/>
  <c r="G90" i="91" s="1"/>
  <c r="F86" i="91"/>
  <c r="G86" i="91" s="1"/>
  <c r="F82" i="91"/>
  <c r="G82" i="91" s="1"/>
  <c r="F65" i="91"/>
  <c r="G65" i="91" s="1"/>
  <c r="C21" i="91"/>
  <c r="B22" i="91"/>
  <c r="F27" i="91"/>
  <c r="F66" i="91"/>
  <c r="G66" i="91" s="1"/>
  <c r="F75" i="91"/>
  <c r="G75" i="91" s="1"/>
  <c r="B20" i="90"/>
  <c r="B19" i="90"/>
  <c r="B22" i="90"/>
  <c r="H58" i="90" s="1"/>
  <c r="F74" i="90"/>
  <c r="G74" i="90" s="1"/>
  <c r="F77" i="90"/>
  <c r="G77" i="90" s="1"/>
  <c r="F90" i="90"/>
  <c r="G90" i="90" s="1"/>
  <c r="C22" i="90"/>
  <c r="I57" i="90" s="1"/>
  <c r="F94" i="90"/>
  <c r="G94" i="90" s="1"/>
  <c r="F69" i="90"/>
  <c r="G69" i="90" s="1"/>
  <c r="F82" i="90"/>
  <c r="G82" i="90" s="1"/>
  <c r="F85" i="90"/>
  <c r="G85" i="90" s="1"/>
  <c r="F98" i="90"/>
  <c r="G98" i="90" s="1"/>
  <c r="R27" i="90"/>
  <c r="B30" i="90" s="1"/>
  <c r="I120" i="90"/>
  <c r="J120" i="90"/>
  <c r="J123" i="90" s="1"/>
  <c r="F113" i="90"/>
  <c r="G113" i="90" s="1"/>
  <c r="F109" i="90"/>
  <c r="G109" i="90" s="1"/>
  <c r="F105" i="90"/>
  <c r="G105" i="90" s="1"/>
  <c r="F101" i="90"/>
  <c r="G101" i="90" s="1"/>
  <c r="F95" i="90"/>
  <c r="G95" i="90" s="1"/>
  <c r="F91" i="90"/>
  <c r="G91" i="90" s="1"/>
  <c r="F87" i="90"/>
  <c r="G87" i="90" s="1"/>
  <c r="F83" i="90"/>
  <c r="G83" i="90" s="1"/>
  <c r="F79" i="90"/>
  <c r="G79" i="90" s="1"/>
  <c r="F75" i="90"/>
  <c r="G75" i="90" s="1"/>
  <c r="F71" i="90"/>
  <c r="G71" i="90" s="1"/>
  <c r="F111" i="90"/>
  <c r="G111" i="90" s="1"/>
  <c r="F107" i="90"/>
  <c r="G107" i="90" s="1"/>
  <c r="F103" i="90"/>
  <c r="G103" i="90" s="1"/>
  <c r="F112" i="90"/>
  <c r="G112" i="90" s="1"/>
  <c r="F108" i="90"/>
  <c r="G108" i="90" s="1"/>
  <c r="F104" i="90"/>
  <c r="G104" i="90" s="1"/>
  <c r="F100" i="90"/>
  <c r="G100" i="90" s="1"/>
  <c r="F96" i="90"/>
  <c r="G96" i="90" s="1"/>
  <c r="F92" i="90"/>
  <c r="G92" i="90" s="1"/>
  <c r="F97" i="90"/>
  <c r="G97" i="90" s="1"/>
  <c r="F93" i="90"/>
  <c r="G93" i="90" s="1"/>
  <c r="F110" i="90"/>
  <c r="G110" i="90" s="1"/>
  <c r="F102" i="90"/>
  <c r="G102" i="90" s="1"/>
  <c r="F88" i="90"/>
  <c r="G88" i="90" s="1"/>
  <c r="F84" i="90"/>
  <c r="G84" i="90" s="1"/>
  <c r="F80" i="90"/>
  <c r="G80" i="90" s="1"/>
  <c r="F76" i="90"/>
  <c r="G76" i="90" s="1"/>
  <c r="F72" i="90"/>
  <c r="G72" i="90" s="1"/>
  <c r="F68" i="90"/>
  <c r="G68" i="90" s="1"/>
  <c r="F67" i="90"/>
  <c r="G67" i="90" s="1"/>
  <c r="F63" i="90"/>
  <c r="G63" i="90" s="1"/>
  <c r="F106" i="90"/>
  <c r="G106" i="90" s="1"/>
  <c r="F65" i="90"/>
  <c r="G65" i="90" s="1"/>
  <c r="B18" i="90"/>
  <c r="C21" i="90"/>
  <c r="F64" i="90"/>
  <c r="G64" i="90" s="1"/>
  <c r="F66" i="90"/>
  <c r="G66" i="90" s="1"/>
  <c r="F70" i="90"/>
  <c r="G70" i="90" s="1"/>
  <c r="F78" i="90"/>
  <c r="G78" i="90" s="1"/>
  <c r="F86" i="90"/>
  <c r="G86" i="90" s="1"/>
  <c r="F99" i="90"/>
  <c r="G99" i="90" s="1"/>
  <c r="R25" i="90"/>
  <c r="E31" i="90"/>
  <c r="E30" i="90"/>
  <c r="F27" i="90"/>
  <c r="B21" i="90"/>
  <c r="R26" i="90"/>
  <c r="F73" i="90"/>
  <c r="G73" i="90" s="1"/>
  <c r="F81" i="90"/>
  <c r="G81" i="90" s="1"/>
  <c r="F89" i="90"/>
  <c r="G89" i="90" s="1"/>
  <c r="U14" i="89"/>
  <c r="B38" i="89"/>
  <c r="X14" i="89" s="1"/>
  <c r="B21" i="89"/>
  <c r="R26" i="89"/>
  <c r="R27" i="89"/>
  <c r="B30" i="89" s="1"/>
  <c r="F73" i="89"/>
  <c r="G73" i="89" s="1"/>
  <c r="F81" i="89"/>
  <c r="G81" i="89" s="1"/>
  <c r="F89" i="89"/>
  <c r="G89" i="89" s="1"/>
  <c r="I120" i="89"/>
  <c r="J120" i="89"/>
  <c r="B13" i="89" s="1"/>
  <c r="F113" i="89"/>
  <c r="G113" i="89" s="1"/>
  <c r="F109" i="89"/>
  <c r="G109" i="89" s="1"/>
  <c r="F105" i="89"/>
  <c r="G105" i="89" s="1"/>
  <c r="F101" i="89"/>
  <c r="G101" i="89" s="1"/>
  <c r="F95" i="89"/>
  <c r="G95" i="89" s="1"/>
  <c r="F91" i="89"/>
  <c r="G91" i="89" s="1"/>
  <c r="F87" i="89"/>
  <c r="G87" i="89" s="1"/>
  <c r="F83" i="89"/>
  <c r="G83" i="89" s="1"/>
  <c r="F79" i="89"/>
  <c r="G79" i="89" s="1"/>
  <c r="F75" i="89"/>
  <c r="G75" i="89" s="1"/>
  <c r="F71" i="89"/>
  <c r="G71" i="89" s="1"/>
  <c r="F111" i="89"/>
  <c r="G111" i="89" s="1"/>
  <c r="F107" i="89"/>
  <c r="G107" i="89" s="1"/>
  <c r="F103" i="89"/>
  <c r="G103" i="89" s="1"/>
  <c r="F100" i="89"/>
  <c r="G100" i="89" s="1"/>
  <c r="F65" i="89"/>
  <c r="G65" i="89" s="1"/>
  <c r="F102" i="89"/>
  <c r="G102" i="89" s="1"/>
  <c r="F64" i="89"/>
  <c r="G64" i="89" s="1"/>
  <c r="F104" i="89"/>
  <c r="G104" i="89" s="1"/>
  <c r="F99" i="89"/>
  <c r="G99" i="89" s="1"/>
  <c r="F96" i="89"/>
  <c r="G96" i="89" s="1"/>
  <c r="F92" i="89"/>
  <c r="G92" i="89" s="1"/>
  <c r="F88" i="89"/>
  <c r="G88" i="89" s="1"/>
  <c r="F84" i="89"/>
  <c r="G84" i="89" s="1"/>
  <c r="F80" i="89"/>
  <c r="G80" i="89" s="1"/>
  <c r="F76" i="89"/>
  <c r="G76" i="89" s="1"/>
  <c r="F72" i="89"/>
  <c r="G72" i="89" s="1"/>
  <c r="F68" i="89"/>
  <c r="G68" i="89" s="1"/>
  <c r="F67" i="89"/>
  <c r="G67" i="89" s="1"/>
  <c r="B18" i="89"/>
  <c r="C21" i="89"/>
  <c r="F63" i="89"/>
  <c r="G63" i="89" s="1"/>
  <c r="F70" i="89"/>
  <c r="G70" i="89" s="1"/>
  <c r="F78" i="89"/>
  <c r="G78" i="89" s="1"/>
  <c r="F86" i="89"/>
  <c r="G86" i="89" s="1"/>
  <c r="F94" i="89"/>
  <c r="G94" i="89" s="1"/>
  <c r="B19" i="89"/>
  <c r="B22" i="89"/>
  <c r="F27" i="89"/>
  <c r="E30" i="89"/>
  <c r="F69" i="89"/>
  <c r="G69" i="89" s="1"/>
  <c r="F77" i="89"/>
  <c r="G77" i="89" s="1"/>
  <c r="F85" i="89"/>
  <c r="G85" i="89" s="1"/>
  <c r="F93" i="89"/>
  <c r="G93" i="89" s="1"/>
  <c r="U14" i="88"/>
  <c r="B21" i="88"/>
  <c r="R26" i="88"/>
  <c r="R27" i="88"/>
  <c r="B30" i="88" s="1"/>
  <c r="B37" i="88"/>
  <c r="B38" i="88" s="1"/>
  <c r="X14" i="88" s="1"/>
  <c r="I120" i="88"/>
  <c r="J120" i="88"/>
  <c r="B13" i="88" s="1"/>
  <c r="F113" i="88"/>
  <c r="G113" i="88" s="1"/>
  <c r="F109" i="88"/>
  <c r="G109" i="88" s="1"/>
  <c r="F105" i="88"/>
  <c r="G105" i="88" s="1"/>
  <c r="F101" i="88"/>
  <c r="G101" i="88" s="1"/>
  <c r="F95" i="88"/>
  <c r="G95" i="88" s="1"/>
  <c r="F91" i="88"/>
  <c r="G91" i="88" s="1"/>
  <c r="F87" i="88"/>
  <c r="G87" i="88" s="1"/>
  <c r="F83" i="88"/>
  <c r="G83" i="88" s="1"/>
  <c r="F79" i="88"/>
  <c r="G79" i="88" s="1"/>
  <c r="F75" i="88"/>
  <c r="G75" i="88" s="1"/>
  <c r="F71" i="88"/>
  <c r="G71" i="88" s="1"/>
  <c r="F111" i="88"/>
  <c r="G111" i="88" s="1"/>
  <c r="F107" i="88"/>
  <c r="G107" i="88" s="1"/>
  <c r="F103" i="88"/>
  <c r="G103" i="88" s="1"/>
  <c r="F99" i="88"/>
  <c r="G99" i="88" s="1"/>
  <c r="F96" i="88"/>
  <c r="G96" i="88" s="1"/>
  <c r="F92" i="88"/>
  <c r="G92" i="88" s="1"/>
  <c r="F88" i="88"/>
  <c r="G88" i="88" s="1"/>
  <c r="F84" i="88"/>
  <c r="G84" i="88" s="1"/>
  <c r="F80" i="88"/>
  <c r="G80" i="88" s="1"/>
  <c r="F76" i="88"/>
  <c r="G76" i="88" s="1"/>
  <c r="F72" i="88"/>
  <c r="G72" i="88" s="1"/>
  <c r="F68" i="88"/>
  <c r="G68" i="88" s="1"/>
  <c r="F67" i="88"/>
  <c r="G67" i="88" s="1"/>
  <c r="F63" i="88"/>
  <c r="G63" i="88" s="1"/>
  <c r="F112" i="88"/>
  <c r="G112" i="88" s="1"/>
  <c r="F110" i="88"/>
  <c r="G110" i="88" s="1"/>
  <c r="F108" i="88"/>
  <c r="G108" i="88" s="1"/>
  <c r="F106" i="88"/>
  <c r="G106" i="88" s="1"/>
  <c r="F104" i="88"/>
  <c r="G104" i="88" s="1"/>
  <c r="F102" i="88"/>
  <c r="G102" i="88" s="1"/>
  <c r="F100" i="88"/>
  <c r="G100" i="88" s="1"/>
  <c r="F98" i="88"/>
  <c r="G98" i="88" s="1"/>
  <c r="F97" i="88"/>
  <c r="G97" i="88" s="1"/>
  <c r="F94" i="88"/>
  <c r="G94" i="88" s="1"/>
  <c r="F93" i="88"/>
  <c r="G93" i="88" s="1"/>
  <c r="F90" i="88"/>
  <c r="G90" i="88" s="1"/>
  <c r="F89" i="88"/>
  <c r="G89" i="88" s="1"/>
  <c r="F86" i="88"/>
  <c r="G86" i="88" s="1"/>
  <c r="F85" i="88"/>
  <c r="G85" i="88" s="1"/>
  <c r="F82" i="88"/>
  <c r="G82" i="88" s="1"/>
  <c r="F81" i="88"/>
  <c r="G81" i="88" s="1"/>
  <c r="F78" i="88"/>
  <c r="G78" i="88" s="1"/>
  <c r="F77" i="88"/>
  <c r="G77" i="88" s="1"/>
  <c r="F74" i="88"/>
  <c r="G74" i="88" s="1"/>
  <c r="F73" i="88"/>
  <c r="G73" i="88" s="1"/>
  <c r="F70" i="88"/>
  <c r="G70" i="88" s="1"/>
  <c r="F69" i="88"/>
  <c r="G69" i="88" s="1"/>
  <c r="F65" i="88"/>
  <c r="G65" i="88" s="1"/>
  <c r="B18" i="88"/>
  <c r="C21" i="88"/>
  <c r="F28" i="88"/>
  <c r="F64" i="88"/>
  <c r="G64" i="88" s="1"/>
  <c r="F27" i="88"/>
  <c r="E30" i="88"/>
  <c r="C22" i="88"/>
  <c r="F66" i="88"/>
  <c r="G66" i="88" s="1"/>
  <c r="B19" i="87"/>
  <c r="B22" i="87"/>
  <c r="H57" i="87" s="1"/>
  <c r="R27" i="87"/>
  <c r="B30" i="87" s="1"/>
  <c r="B38" i="87"/>
  <c r="X14" i="87" s="1"/>
  <c r="U14" i="87"/>
  <c r="I120" i="87"/>
  <c r="I122" i="87" s="1"/>
  <c r="J120" i="87"/>
  <c r="B13" i="87" s="1"/>
  <c r="F113" i="87"/>
  <c r="G113" i="87" s="1"/>
  <c r="F109" i="87"/>
  <c r="G109" i="87" s="1"/>
  <c r="F105" i="87"/>
  <c r="G105" i="87" s="1"/>
  <c r="F101" i="87"/>
  <c r="G101" i="87" s="1"/>
  <c r="F95" i="87"/>
  <c r="G95" i="87" s="1"/>
  <c r="F91" i="87"/>
  <c r="G91" i="87" s="1"/>
  <c r="F87" i="87"/>
  <c r="G87" i="87" s="1"/>
  <c r="F83" i="87"/>
  <c r="G83" i="87" s="1"/>
  <c r="F79" i="87"/>
  <c r="G79" i="87" s="1"/>
  <c r="F75" i="87"/>
  <c r="G75" i="87" s="1"/>
  <c r="F71" i="87"/>
  <c r="G71" i="87" s="1"/>
  <c r="F111" i="87"/>
  <c r="G111" i="87" s="1"/>
  <c r="F107" i="87"/>
  <c r="G107" i="87" s="1"/>
  <c r="F103" i="87"/>
  <c r="G103" i="87" s="1"/>
  <c r="F112" i="87"/>
  <c r="G112" i="87" s="1"/>
  <c r="F108" i="87"/>
  <c r="G108" i="87" s="1"/>
  <c r="F104" i="87"/>
  <c r="G104" i="87" s="1"/>
  <c r="F100" i="87"/>
  <c r="G100" i="87" s="1"/>
  <c r="F96" i="87"/>
  <c r="G96" i="87" s="1"/>
  <c r="F92" i="87"/>
  <c r="G92" i="87" s="1"/>
  <c r="F88" i="87"/>
  <c r="G88" i="87" s="1"/>
  <c r="F84" i="87"/>
  <c r="G84" i="87" s="1"/>
  <c r="F80" i="87"/>
  <c r="G80" i="87" s="1"/>
  <c r="F76" i="87"/>
  <c r="G76" i="87" s="1"/>
  <c r="F72" i="87"/>
  <c r="G72" i="87" s="1"/>
  <c r="F68" i="87"/>
  <c r="G68" i="87" s="1"/>
  <c r="F67" i="87"/>
  <c r="G67" i="87" s="1"/>
  <c r="F63" i="87"/>
  <c r="G63" i="87" s="1"/>
  <c r="F110" i="87"/>
  <c r="G110" i="87" s="1"/>
  <c r="F102" i="87"/>
  <c r="G102" i="87" s="1"/>
  <c r="F99" i="87"/>
  <c r="G99" i="87" s="1"/>
  <c r="F98" i="87"/>
  <c r="G98" i="87" s="1"/>
  <c r="F106" i="87"/>
  <c r="G106" i="87" s="1"/>
  <c r="F97" i="87"/>
  <c r="G97" i="87" s="1"/>
  <c r="F64" i="87"/>
  <c r="G64" i="87" s="1"/>
  <c r="B18" i="87"/>
  <c r="C21" i="87"/>
  <c r="F28" i="87"/>
  <c r="E30" i="87"/>
  <c r="F70" i="87"/>
  <c r="G70" i="87" s="1"/>
  <c r="F74" i="87"/>
  <c r="G74" i="87" s="1"/>
  <c r="F78" i="87"/>
  <c r="G78" i="87" s="1"/>
  <c r="F82" i="87"/>
  <c r="G82" i="87" s="1"/>
  <c r="F86" i="87"/>
  <c r="G86" i="87" s="1"/>
  <c r="F93" i="87"/>
  <c r="G93" i="87" s="1"/>
  <c r="R25" i="87"/>
  <c r="F27" i="87"/>
  <c r="F66" i="87"/>
  <c r="G66" i="87" s="1"/>
  <c r="F90" i="87"/>
  <c r="G90" i="87" s="1"/>
  <c r="B20" i="87"/>
  <c r="C22" i="87"/>
  <c r="F89" i="87"/>
  <c r="G89" i="87" s="1"/>
  <c r="R26" i="87"/>
  <c r="F65" i="87"/>
  <c r="G65" i="87" s="1"/>
  <c r="F69" i="87"/>
  <c r="G69" i="87" s="1"/>
  <c r="F73" i="87"/>
  <c r="G73" i="87" s="1"/>
  <c r="F77" i="87"/>
  <c r="G77" i="87" s="1"/>
  <c r="F81" i="87"/>
  <c r="G81" i="87" s="1"/>
  <c r="F85" i="87"/>
  <c r="G85" i="87" s="1"/>
  <c r="F94" i="87"/>
  <c r="G94" i="87" s="1"/>
  <c r="F110" i="45"/>
  <c r="G110" i="45" s="1"/>
  <c r="F67" i="45"/>
  <c r="G67" i="45" s="1"/>
  <c r="F78" i="45"/>
  <c r="G78" i="45" s="1"/>
  <c r="F88" i="45"/>
  <c r="G88" i="45" s="1"/>
  <c r="F99" i="45"/>
  <c r="G99" i="45" s="1"/>
  <c r="F70" i="45"/>
  <c r="G70" i="45" s="1"/>
  <c r="F80" i="45"/>
  <c r="G80" i="45" s="1"/>
  <c r="F91" i="45"/>
  <c r="G91" i="45" s="1"/>
  <c r="F102" i="45"/>
  <c r="G102" i="45" s="1"/>
  <c r="F112" i="45"/>
  <c r="G112" i="45" s="1"/>
  <c r="F72" i="45"/>
  <c r="G72" i="45" s="1"/>
  <c r="F83" i="45"/>
  <c r="G83" i="45" s="1"/>
  <c r="F94" i="45"/>
  <c r="G94" i="45" s="1"/>
  <c r="F113" i="45"/>
  <c r="G113" i="45" s="1"/>
  <c r="F64" i="45"/>
  <c r="G64" i="45" s="1"/>
  <c r="F75" i="45"/>
  <c r="G75" i="45" s="1"/>
  <c r="F86" i="45"/>
  <c r="G86" i="45" s="1"/>
  <c r="F96" i="45"/>
  <c r="G96" i="45" s="1"/>
  <c r="F107" i="45"/>
  <c r="G107" i="45" s="1"/>
  <c r="F67" i="86"/>
  <c r="G67" i="86" s="1"/>
  <c r="B19" i="86"/>
  <c r="B22" i="86"/>
  <c r="H58" i="86" s="1"/>
  <c r="R27" i="86"/>
  <c r="B30" i="86" s="1"/>
  <c r="B38" i="86"/>
  <c r="X14" i="86" s="1"/>
  <c r="U37" i="86"/>
  <c r="U14" i="86"/>
  <c r="I120" i="86"/>
  <c r="J120" i="86"/>
  <c r="B13" i="86" s="1"/>
  <c r="F113" i="86"/>
  <c r="G113" i="86" s="1"/>
  <c r="F109" i="86"/>
  <c r="G109" i="86" s="1"/>
  <c r="F105" i="86"/>
  <c r="G105" i="86" s="1"/>
  <c r="F101" i="86"/>
  <c r="G101" i="86" s="1"/>
  <c r="F95" i="86"/>
  <c r="G95" i="86" s="1"/>
  <c r="F91" i="86"/>
  <c r="G91" i="86" s="1"/>
  <c r="F87" i="86"/>
  <c r="G87" i="86" s="1"/>
  <c r="F83" i="86"/>
  <c r="G83" i="86" s="1"/>
  <c r="F79" i="86"/>
  <c r="G79" i="86" s="1"/>
  <c r="F111" i="86"/>
  <c r="G111" i="86" s="1"/>
  <c r="F107" i="86"/>
  <c r="G107" i="86" s="1"/>
  <c r="F103" i="86"/>
  <c r="G103" i="86" s="1"/>
  <c r="F99" i="86"/>
  <c r="G99" i="86" s="1"/>
  <c r="F97" i="86"/>
  <c r="G97" i="86" s="1"/>
  <c r="F93" i="86"/>
  <c r="G93" i="86" s="1"/>
  <c r="F89" i="86"/>
  <c r="G89" i="86" s="1"/>
  <c r="F85" i="86"/>
  <c r="G85" i="86" s="1"/>
  <c r="F81" i="86"/>
  <c r="G81" i="86" s="1"/>
  <c r="F77" i="86"/>
  <c r="G77" i="86" s="1"/>
  <c r="F73" i="86"/>
  <c r="G73" i="86" s="1"/>
  <c r="F69" i="86"/>
  <c r="G69" i="86" s="1"/>
  <c r="F75" i="86"/>
  <c r="G75" i="86" s="1"/>
  <c r="F72" i="86"/>
  <c r="G72" i="86" s="1"/>
  <c r="F71" i="86"/>
  <c r="G71" i="86" s="1"/>
  <c r="F66" i="86"/>
  <c r="G66" i="86" s="1"/>
  <c r="F96" i="86"/>
  <c r="G96" i="86" s="1"/>
  <c r="F92" i="86"/>
  <c r="G92" i="86" s="1"/>
  <c r="F88" i="86"/>
  <c r="G88" i="86" s="1"/>
  <c r="F84" i="86"/>
  <c r="G84" i="86" s="1"/>
  <c r="F80" i="86"/>
  <c r="G80" i="86" s="1"/>
  <c r="F76" i="86"/>
  <c r="G76" i="86" s="1"/>
  <c r="F65" i="86"/>
  <c r="G65" i="86" s="1"/>
  <c r="F112" i="86"/>
  <c r="G112" i="86" s="1"/>
  <c r="F110" i="86"/>
  <c r="G110" i="86" s="1"/>
  <c r="B18" i="86"/>
  <c r="C21" i="86"/>
  <c r="F28" i="86"/>
  <c r="F86" i="86"/>
  <c r="G86" i="86" s="1"/>
  <c r="F90" i="86"/>
  <c r="G90" i="86" s="1"/>
  <c r="F94" i="86"/>
  <c r="G94" i="86" s="1"/>
  <c r="F98" i="86"/>
  <c r="G98" i="86" s="1"/>
  <c r="F100" i="86"/>
  <c r="G100" i="86" s="1"/>
  <c r="F102" i="86"/>
  <c r="G102" i="86" s="1"/>
  <c r="F104" i="86"/>
  <c r="G104" i="86" s="1"/>
  <c r="F106" i="86"/>
  <c r="G106" i="86" s="1"/>
  <c r="F108" i="86"/>
  <c r="G108" i="86" s="1"/>
  <c r="R25" i="86"/>
  <c r="F27" i="86"/>
  <c r="E31" i="86"/>
  <c r="F64" i="86"/>
  <c r="G64" i="86" s="1"/>
  <c r="F68" i="86"/>
  <c r="G68" i="86" s="1"/>
  <c r="B20" i="86"/>
  <c r="C22" i="86"/>
  <c r="F70" i="86"/>
  <c r="G70" i="86" s="1"/>
  <c r="F74" i="86"/>
  <c r="G74" i="86" s="1"/>
  <c r="B21" i="86"/>
  <c r="R26" i="86"/>
  <c r="F63" i="86"/>
  <c r="G63" i="86" s="1"/>
  <c r="F78" i="86"/>
  <c r="G78" i="86" s="1"/>
  <c r="F82" i="86"/>
  <c r="G82" i="86" s="1"/>
  <c r="J122" i="86"/>
  <c r="R27" i="45"/>
  <c r="B30" i="45" s="1"/>
  <c r="F69" i="45"/>
  <c r="G69" i="45" s="1"/>
  <c r="F77" i="45"/>
  <c r="G77" i="45" s="1"/>
  <c r="F85" i="45"/>
  <c r="G85" i="45" s="1"/>
  <c r="F93" i="45"/>
  <c r="G93" i="45" s="1"/>
  <c r="F101" i="45"/>
  <c r="G101" i="45" s="1"/>
  <c r="F109" i="45"/>
  <c r="G109" i="45" s="1"/>
  <c r="R25" i="45"/>
  <c r="F65" i="45"/>
  <c r="G65" i="45" s="1"/>
  <c r="F73" i="45"/>
  <c r="G73" i="45" s="1"/>
  <c r="F81" i="45"/>
  <c r="G81" i="45" s="1"/>
  <c r="F89" i="45"/>
  <c r="G89" i="45" s="1"/>
  <c r="F97" i="45"/>
  <c r="G97" i="45" s="1"/>
  <c r="F105" i="45"/>
  <c r="G105" i="45" s="1"/>
  <c r="I120" i="45"/>
  <c r="I123" i="45" s="1"/>
  <c r="R26" i="45"/>
  <c r="C22" i="45"/>
  <c r="F63" i="45"/>
  <c r="G63" i="45" s="1"/>
  <c r="F66" i="45"/>
  <c r="G66" i="45" s="1"/>
  <c r="F68" i="45"/>
  <c r="G68" i="45" s="1"/>
  <c r="F71" i="45"/>
  <c r="G71" i="45" s="1"/>
  <c r="F74" i="45"/>
  <c r="G74" i="45" s="1"/>
  <c r="F76" i="45"/>
  <c r="G76" i="45" s="1"/>
  <c r="F79" i="45"/>
  <c r="G79" i="45" s="1"/>
  <c r="F82" i="45"/>
  <c r="G82" i="45" s="1"/>
  <c r="F84" i="45"/>
  <c r="G84" i="45" s="1"/>
  <c r="F87" i="45"/>
  <c r="G87" i="45" s="1"/>
  <c r="F90" i="45"/>
  <c r="G90" i="45" s="1"/>
  <c r="F92" i="45"/>
  <c r="G92" i="45" s="1"/>
  <c r="F95" i="45"/>
  <c r="G95" i="45" s="1"/>
  <c r="F98" i="45"/>
  <c r="G98" i="45" s="1"/>
  <c r="F100" i="45"/>
  <c r="G100" i="45" s="1"/>
  <c r="F103" i="45"/>
  <c r="G103" i="45" s="1"/>
  <c r="F106" i="45"/>
  <c r="G106" i="45" s="1"/>
  <c r="F108" i="45"/>
  <c r="G108" i="45" s="1"/>
  <c r="F111" i="45"/>
  <c r="G111" i="45" s="1"/>
  <c r="J123" i="45"/>
  <c r="J122" i="45"/>
  <c r="B22" i="45"/>
  <c r="B19" i="45"/>
  <c r="B21" i="45"/>
  <c r="B18" i="45"/>
  <c r="C21" i="45"/>
  <c r="B36" i="45"/>
  <c r="B20" i="45"/>
  <c r="B17" i="44"/>
  <c r="B16" i="44"/>
  <c r="B12" i="44"/>
  <c r="U11" i="44" s="1"/>
  <c r="V11" i="44" s="1"/>
  <c r="B11" i="44"/>
  <c r="B10" i="44"/>
  <c r="O252" i="44"/>
  <c r="O251" i="44"/>
  <c r="O250" i="44"/>
  <c r="O249" i="44"/>
  <c r="O248" i="44"/>
  <c r="O247" i="44"/>
  <c r="O246" i="44"/>
  <c r="O245" i="44"/>
  <c r="O244" i="44"/>
  <c r="O243" i="44"/>
  <c r="O242" i="44"/>
  <c r="O241" i="44"/>
  <c r="O240" i="44"/>
  <c r="O239" i="44"/>
  <c r="O238" i="44"/>
  <c r="O237" i="44"/>
  <c r="O236" i="44"/>
  <c r="O235" i="44"/>
  <c r="O234" i="44"/>
  <c r="O233" i="44"/>
  <c r="O232" i="44"/>
  <c r="O231" i="44"/>
  <c r="O230" i="44"/>
  <c r="O229" i="44"/>
  <c r="O228" i="44"/>
  <c r="O227" i="44"/>
  <c r="O226" i="44"/>
  <c r="O225" i="44"/>
  <c r="O224" i="44"/>
  <c r="O223" i="44"/>
  <c r="O222" i="44"/>
  <c r="O221" i="44"/>
  <c r="O220" i="44"/>
  <c r="O219" i="44"/>
  <c r="O218" i="44"/>
  <c r="O217" i="44"/>
  <c r="O216" i="44"/>
  <c r="O215" i="44"/>
  <c r="O214" i="44"/>
  <c r="O213" i="44"/>
  <c r="O212" i="44"/>
  <c r="O211" i="44"/>
  <c r="O210" i="44"/>
  <c r="O209" i="44"/>
  <c r="O208" i="44"/>
  <c r="O207" i="44"/>
  <c r="O206" i="44"/>
  <c r="O205" i="44"/>
  <c r="O204" i="44"/>
  <c r="O203" i="44"/>
  <c r="O202" i="44"/>
  <c r="O201" i="44"/>
  <c r="O200" i="44"/>
  <c r="O199" i="44"/>
  <c r="O198" i="44"/>
  <c r="O197" i="44"/>
  <c r="O196" i="44"/>
  <c r="O195" i="44"/>
  <c r="O194" i="44"/>
  <c r="O193" i="44"/>
  <c r="O192" i="44"/>
  <c r="O191" i="44"/>
  <c r="O190" i="44"/>
  <c r="O189" i="44"/>
  <c r="O188" i="44"/>
  <c r="O187" i="44"/>
  <c r="O186" i="44"/>
  <c r="O185" i="44"/>
  <c r="O184" i="44"/>
  <c r="O183" i="44"/>
  <c r="O182" i="44"/>
  <c r="O181" i="44"/>
  <c r="O180" i="44"/>
  <c r="O179" i="44"/>
  <c r="O178" i="44"/>
  <c r="O177" i="44"/>
  <c r="O176" i="44"/>
  <c r="O175" i="44"/>
  <c r="O174" i="44"/>
  <c r="O173" i="44"/>
  <c r="O172" i="44"/>
  <c r="O171" i="44"/>
  <c r="O170" i="44"/>
  <c r="O169" i="44"/>
  <c r="O168" i="44"/>
  <c r="O167" i="44"/>
  <c r="O166" i="44"/>
  <c r="O165" i="44"/>
  <c r="O164" i="44"/>
  <c r="O163" i="44"/>
  <c r="O162" i="44"/>
  <c r="O161" i="44"/>
  <c r="O160" i="44"/>
  <c r="O159" i="44"/>
  <c r="O158" i="44"/>
  <c r="O157" i="44"/>
  <c r="O156" i="44"/>
  <c r="O155" i="44"/>
  <c r="O154" i="44"/>
  <c r="O153" i="44"/>
  <c r="O152" i="44"/>
  <c r="O151" i="44"/>
  <c r="O150" i="44"/>
  <c r="O149" i="44"/>
  <c r="O148" i="44"/>
  <c r="O147" i="44"/>
  <c r="O146" i="44"/>
  <c r="O145" i="44"/>
  <c r="O144" i="44"/>
  <c r="O143" i="44"/>
  <c r="O142" i="44"/>
  <c r="O141" i="44"/>
  <c r="O140" i="44"/>
  <c r="O139" i="44"/>
  <c r="O138" i="44"/>
  <c r="O137" i="44"/>
  <c r="O136" i="44"/>
  <c r="O135" i="44"/>
  <c r="O134" i="44"/>
  <c r="O133" i="44"/>
  <c r="O132" i="44"/>
  <c r="O131" i="44"/>
  <c r="O130" i="44"/>
  <c r="O129" i="44"/>
  <c r="O128" i="44"/>
  <c r="O127" i="44"/>
  <c r="O126" i="44"/>
  <c r="O125" i="44"/>
  <c r="O124" i="44"/>
  <c r="O123" i="44"/>
  <c r="O122" i="44"/>
  <c r="O121" i="44"/>
  <c r="O120" i="44"/>
  <c r="O119" i="44"/>
  <c r="O118" i="44"/>
  <c r="O117" i="44"/>
  <c r="O116" i="44"/>
  <c r="O115" i="44"/>
  <c r="O114" i="44"/>
  <c r="O113" i="44"/>
  <c r="O112" i="44"/>
  <c r="O111" i="44"/>
  <c r="O110" i="44"/>
  <c r="O109" i="44"/>
  <c r="O108" i="44"/>
  <c r="O107" i="44"/>
  <c r="O106" i="44"/>
  <c r="O105" i="44"/>
  <c r="O104" i="44"/>
  <c r="O103" i="44"/>
  <c r="O102" i="44"/>
  <c r="O101" i="44"/>
  <c r="O100" i="44"/>
  <c r="O99" i="44"/>
  <c r="O98" i="44"/>
  <c r="O97" i="44"/>
  <c r="O96" i="44"/>
  <c r="O95" i="44"/>
  <c r="O94" i="44"/>
  <c r="O93" i="44"/>
  <c r="O92" i="44"/>
  <c r="O91" i="44"/>
  <c r="O90" i="44"/>
  <c r="O89" i="44"/>
  <c r="O88" i="44"/>
  <c r="O87" i="44"/>
  <c r="O86" i="44"/>
  <c r="O85" i="44"/>
  <c r="O84" i="44"/>
  <c r="O83" i="44"/>
  <c r="O82" i="44"/>
  <c r="O81" i="44"/>
  <c r="O80" i="44"/>
  <c r="O79" i="44"/>
  <c r="O78" i="44"/>
  <c r="O77" i="44"/>
  <c r="O76" i="44"/>
  <c r="O75" i="44"/>
  <c r="O74" i="44"/>
  <c r="O73" i="44"/>
  <c r="O72" i="44"/>
  <c r="O71" i="44"/>
  <c r="O70" i="44"/>
  <c r="O69" i="44"/>
  <c r="O68" i="44"/>
  <c r="O67" i="44"/>
  <c r="O66" i="44"/>
  <c r="O65" i="44"/>
  <c r="O64" i="44"/>
  <c r="O63" i="44"/>
  <c r="O62" i="44"/>
  <c r="O61" i="44"/>
  <c r="O60" i="44"/>
  <c r="O59" i="44"/>
  <c r="O58" i="44"/>
  <c r="O57" i="44"/>
  <c r="O56" i="44"/>
  <c r="O55" i="44"/>
  <c r="O54" i="44"/>
  <c r="O53" i="44"/>
  <c r="O52" i="44"/>
  <c r="O51" i="44"/>
  <c r="O50" i="44"/>
  <c r="O49" i="44"/>
  <c r="O48" i="44"/>
  <c r="O47" i="44"/>
  <c r="O46" i="44"/>
  <c r="O45" i="44"/>
  <c r="O44" i="44"/>
  <c r="O43" i="44"/>
  <c r="O42" i="44"/>
  <c r="O41" i="44"/>
  <c r="O40" i="44"/>
  <c r="O39" i="44"/>
  <c r="O38" i="44"/>
  <c r="O37" i="44"/>
  <c r="O36" i="44"/>
  <c r="O35" i="44"/>
  <c r="O34" i="44"/>
  <c r="O33" i="44"/>
  <c r="O32" i="44"/>
  <c r="O31" i="44"/>
  <c r="O30" i="44"/>
  <c r="O29" i="44"/>
  <c r="O28" i="44"/>
  <c r="O27" i="44"/>
  <c r="O26" i="44"/>
  <c r="O25" i="44"/>
  <c r="O24" i="44"/>
  <c r="O23" i="44"/>
  <c r="O22" i="44"/>
  <c r="O21" i="44"/>
  <c r="O20" i="44"/>
  <c r="O19" i="44"/>
  <c r="O18" i="44"/>
  <c r="O17" i="44"/>
  <c r="O16" i="44"/>
  <c r="O15" i="44"/>
  <c r="O14" i="44"/>
  <c r="O13" i="44"/>
  <c r="O12" i="44"/>
  <c r="O11" i="44"/>
  <c r="O10" i="44"/>
  <c r="O9" i="44"/>
  <c r="O8" i="44"/>
  <c r="O7" i="44"/>
  <c r="O6" i="44"/>
  <c r="O5" i="44"/>
  <c r="O4" i="44"/>
  <c r="O3" i="44"/>
  <c r="B9" i="44"/>
  <c r="B114" i="43"/>
  <c r="B104" i="43"/>
  <c r="F103" i="43"/>
  <c r="B106" i="43"/>
  <c r="A106" i="43"/>
  <c r="B105" i="43"/>
  <c r="A105" i="43"/>
  <c r="C103" i="43"/>
  <c r="F102" i="43"/>
  <c r="B102" i="43"/>
  <c r="S252" i="43"/>
  <c r="S251" i="43"/>
  <c r="S250" i="43"/>
  <c r="S249" i="43"/>
  <c r="S248" i="43"/>
  <c r="S247" i="43"/>
  <c r="S246" i="43"/>
  <c r="S245" i="43"/>
  <c r="S244" i="43"/>
  <c r="S243" i="43"/>
  <c r="S242" i="43"/>
  <c r="S241" i="43"/>
  <c r="S240" i="43"/>
  <c r="S239" i="43"/>
  <c r="S238" i="43"/>
  <c r="S237" i="43"/>
  <c r="S236" i="43"/>
  <c r="S235" i="43"/>
  <c r="S234" i="43"/>
  <c r="S233" i="43"/>
  <c r="S232" i="43"/>
  <c r="S231" i="43"/>
  <c r="S230" i="43"/>
  <c r="S229" i="43"/>
  <c r="S228" i="43"/>
  <c r="S227" i="43"/>
  <c r="S226" i="43"/>
  <c r="S225" i="43"/>
  <c r="S224" i="43"/>
  <c r="S223" i="43"/>
  <c r="S222" i="43"/>
  <c r="S221" i="43"/>
  <c r="S220" i="43"/>
  <c r="S219" i="43"/>
  <c r="S218" i="43"/>
  <c r="S217" i="43"/>
  <c r="S216" i="43"/>
  <c r="S215" i="43"/>
  <c r="S214" i="43"/>
  <c r="S213" i="43"/>
  <c r="S212" i="43"/>
  <c r="S211" i="43"/>
  <c r="S210" i="43"/>
  <c r="S209" i="43"/>
  <c r="S208" i="43"/>
  <c r="S207" i="43"/>
  <c r="S206" i="43"/>
  <c r="S205" i="43"/>
  <c r="S204" i="43"/>
  <c r="S203" i="43"/>
  <c r="S202" i="43"/>
  <c r="S201" i="43"/>
  <c r="S200" i="43"/>
  <c r="S199" i="43"/>
  <c r="S198" i="43"/>
  <c r="S197" i="43"/>
  <c r="S196" i="43"/>
  <c r="S195" i="43"/>
  <c r="S194" i="43"/>
  <c r="S193" i="43"/>
  <c r="S192" i="43"/>
  <c r="S191" i="43"/>
  <c r="S190" i="43"/>
  <c r="S189" i="43"/>
  <c r="S188" i="43"/>
  <c r="S187" i="43"/>
  <c r="S186" i="43"/>
  <c r="S185" i="43"/>
  <c r="S184" i="43"/>
  <c r="S183" i="43"/>
  <c r="S182" i="43"/>
  <c r="S181" i="43"/>
  <c r="S180" i="43"/>
  <c r="S179" i="43"/>
  <c r="S178" i="43"/>
  <c r="S177" i="43"/>
  <c r="S176" i="43"/>
  <c r="S175" i="43"/>
  <c r="S174" i="43"/>
  <c r="S173" i="43"/>
  <c r="S172" i="43"/>
  <c r="S171" i="43"/>
  <c r="S170" i="43"/>
  <c r="S169" i="43"/>
  <c r="S168" i="43"/>
  <c r="S167" i="43"/>
  <c r="S166" i="43"/>
  <c r="S165" i="43"/>
  <c r="S164" i="43"/>
  <c r="S163" i="43"/>
  <c r="S162" i="43"/>
  <c r="S161" i="43"/>
  <c r="S160" i="43"/>
  <c r="S159" i="43"/>
  <c r="S158" i="43"/>
  <c r="S157" i="43"/>
  <c r="S156" i="43"/>
  <c r="S155" i="43"/>
  <c r="S154" i="43"/>
  <c r="S153" i="43"/>
  <c r="S152" i="43"/>
  <c r="S151" i="43"/>
  <c r="S150" i="43"/>
  <c r="S149" i="43"/>
  <c r="S148" i="43"/>
  <c r="S147" i="43"/>
  <c r="S146" i="43"/>
  <c r="S145" i="43"/>
  <c r="S144" i="43"/>
  <c r="S143" i="43"/>
  <c r="S142" i="43"/>
  <c r="S141" i="43"/>
  <c r="S140" i="43"/>
  <c r="S139" i="43"/>
  <c r="S138" i="43"/>
  <c r="S137" i="43"/>
  <c r="S136" i="43"/>
  <c r="S135" i="43"/>
  <c r="S134" i="43"/>
  <c r="S133" i="43"/>
  <c r="S132" i="43"/>
  <c r="S131" i="43"/>
  <c r="S130" i="43"/>
  <c r="S129" i="43"/>
  <c r="S128" i="43"/>
  <c r="S127" i="43"/>
  <c r="S126" i="43"/>
  <c r="S125" i="43"/>
  <c r="S124" i="43"/>
  <c r="S123" i="43"/>
  <c r="S122" i="43"/>
  <c r="S121" i="43"/>
  <c r="S120" i="43"/>
  <c r="S119" i="43"/>
  <c r="S118" i="43"/>
  <c r="S117" i="43"/>
  <c r="S116" i="43"/>
  <c r="S115" i="43"/>
  <c r="S114" i="43"/>
  <c r="S113" i="43"/>
  <c r="S112" i="43"/>
  <c r="S111" i="43"/>
  <c r="S110" i="43"/>
  <c r="S109" i="43"/>
  <c r="S108" i="43"/>
  <c r="S107" i="43"/>
  <c r="S106" i="43"/>
  <c r="S105" i="43"/>
  <c r="S104" i="43"/>
  <c r="S103" i="43"/>
  <c r="S102" i="43"/>
  <c r="S101" i="43"/>
  <c r="S100" i="43"/>
  <c r="S99" i="43"/>
  <c r="S98" i="43"/>
  <c r="S97" i="43"/>
  <c r="S96" i="43"/>
  <c r="S95" i="43"/>
  <c r="S94" i="43"/>
  <c r="S93" i="43"/>
  <c r="S92" i="43"/>
  <c r="S91" i="43"/>
  <c r="S90" i="43"/>
  <c r="S89" i="43"/>
  <c r="S88" i="43"/>
  <c r="S87" i="43"/>
  <c r="S86" i="43"/>
  <c r="S85" i="43"/>
  <c r="S84" i="43"/>
  <c r="S83" i="43"/>
  <c r="S82" i="43"/>
  <c r="S81" i="43"/>
  <c r="S80" i="43"/>
  <c r="S79" i="43"/>
  <c r="S78" i="43"/>
  <c r="S77" i="43"/>
  <c r="S76" i="43"/>
  <c r="S75" i="43"/>
  <c r="S74" i="43"/>
  <c r="S73" i="43"/>
  <c r="S72" i="43"/>
  <c r="S71" i="43"/>
  <c r="S70" i="43"/>
  <c r="S69" i="43"/>
  <c r="S68" i="43"/>
  <c r="S67" i="43"/>
  <c r="S66" i="43"/>
  <c r="S65" i="43"/>
  <c r="S64" i="43"/>
  <c r="S63" i="43"/>
  <c r="S62" i="43"/>
  <c r="S61" i="43"/>
  <c r="S60" i="43"/>
  <c r="S59" i="43"/>
  <c r="S58" i="43"/>
  <c r="S57" i="43"/>
  <c r="S56" i="43"/>
  <c r="S55" i="43"/>
  <c r="S54" i="43"/>
  <c r="S53" i="43"/>
  <c r="S52" i="43"/>
  <c r="S51" i="43"/>
  <c r="S50" i="43"/>
  <c r="B18" i="43"/>
  <c r="R49" i="43" s="1"/>
  <c r="S49" i="43" s="1"/>
  <c r="B17" i="43"/>
  <c r="B16" i="43"/>
  <c r="B12" i="43"/>
  <c r="B11" i="43"/>
  <c r="B10" i="43"/>
  <c r="B9" i="43"/>
  <c r="D111" i="43" s="1"/>
  <c r="R252" i="43"/>
  <c r="R251" i="43"/>
  <c r="R250" i="43"/>
  <c r="R249" i="43"/>
  <c r="R248" i="43"/>
  <c r="R247" i="43"/>
  <c r="R246" i="43"/>
  <c r="R245" i="43"/>
  <c r="R244" i="43"/>
  <c r="R243" i="43"/>
  <c r="R242" i="43"/>
  <c r="R241" i="43"/>
  <c r="R240" i="43"/>
  <c r="R239" i="43"/>
  <c r="R238" i="43"/>
  <c r="R237" i="43"/>
  <c r="R236" i="43"/>
  <c r="R235" i="43"/>
  <c r="R234" i="43"/>
  <c r="R233" i="43"/>
  <c r="R232" i="43"/>
  <c r="R231" i="43"/>
  <c r="R230" i="43"/>
  <c r="R229" i="43"/>
  <c r="R228" i="43"/>
  <c r="R227" i="43"/>
  <c r="R226" i="43"/>
  <c r="R225" i="43"/>
  <c r="R224" i="43"/>
  <c r="R223" i="43"/>
  <c r="R222" i="43"/>
  <c r="R221" i="43"/>
  <c r="R220" i="43"/>
  <c r="R219" i="43"/>
  <c r="R218" i="43"/>
  <c r="R217" i="43"/>
  <c r="R216" i="43"/>
  <c r="R215" i="43"/>
  <c r="R214" i="43"/>
  <c r="R213" i="43"/>
  <c r="R212" i="43"/>
  <c r="R211" i="43"/>
  <c r="R210" i="43"/>
  <c r="R209" i="43"/>
  <c r="R208" i="43"/>
  <c r="R207" i="43"/>
  <c r="R206" i="43"/>
  <c r="R205" i="43"/>
  <c r="R204" i="43"/>
  <c r="R203" i="43"/>
  <c r="R202" i="43"/>
  <c r="R201" i="43"/>
  <c r="R200" i="43"/>
  <c r="R199" i="43"/>
  <c r="R198" i="43"/>
  <c r="R197" i="43"/>
  <c r="R196" i="43"/>
  <c r="R195" i="43"/>
  <c r="R194" i="43"/>
  <c r="R193" i="43"/>
  <c r="R192" i="43"/>
  <c r="R191" i="43"/>
  <c r="R190" i="43"/>
  <c r="R189" i="43"/>
  <c r="R188" i="43"/>
  <c r="R187" i="43"/>
  <c r="R186" i="43"/>
  <c r="R185" i="43"/>
  <c r="R184" i="43"/>
  <c r="R183" i="43"/>
  <c r="R182" i="43"/>
  <c r="R181" i="43"/>
  <c r="R180" i="43"/>
  <c r="R179" i="43"/>
  <c r="R178" i="43"/>
  <c r="R177" i="43"/>
  <c r="R176" i="43"/>
  <c r="R175" i="43"/>
  <c r="R174" i="43"/>
  <c r="R173" i="43"/>
  <c r="R172" i="43"/>
  <c r="R171" i="43"/>
  <c r="R170" i="43"/>
  <c r="R169" i="43"/>
  <c r="R168" i="43"/>
  <c r="R167" i="43"/>
  <c r="R166" i="43"/>
  <c r="R165" i="43"/>
  <c r="R164" i="43"/>
  <c r="R163" i="43"/>
  <c r="R162" i="43"/>
  <c r="R161" i="43"/>
  <c r="R160" i="43"/>
  <c r="R159" i="43"/>
  <c r="R158" i="43"/>
  <c r="R157" i="43"/>
  <c r="R156" i="43"/>
  <c r="R155" i="43"/>
  <c r="R154" i="43"/>
  <c r="R153" i="43"/>
  <c r="R152" i="43"/>
  <c r="R151" i="43"/>
  <c r="R150" i="43"/>
  <c r="R149" i="43"/>
  <c r="R148" i="43"/>
  <c r="R147" i="43"/>
  <c r="R146" i="43"/>
  <c r="R145" i="43"/>
  <c r="R144" i="43"/>
  <c r="R143" i="43"/>
  <c r="R142" i="43"/>
  <c r="R141" i="43"/>
  <c r="R140" i="43"/>
  <c r="R139" i="43"/>
  <c r="R138" i="43"/>
  <c r="R137" i="43"/>
  <c r="R136" i="43"/>
  <c r="R135" i="43"/>
  <c r="R134" i="43"/>
  <c r="R133" i="43"/>
  <c r="R132" i="43"/>
  <c r="R131" i="43"/>
  <c r="R130" i="43"/>
  <c r="R129" i="43"/>
  <c r="R128" i="43"/>
  <c r="R127" i="43"/>
  <c r="R126" i="43"/>
  <c r="R125" i="43"/>
  <c r="R124" i="43"/>
  <c r="R123" i="43"/>
  <c r="R122" i="43"/>
  <c r="R121" i="43"/>
  <c r="R120" i="43"/>
  <c r="R119" i="43"/>
  <c r="R118" i="43"/>
  <c r="R117" i="43"/>
  <c r="R116" i="43"/>
  <c r="R115" i="43"/>
  <c r="R114" i="43"/>
  <c r="R113" i="43"/>
  <c r="R112" i="43"/>
  <c r="R111" i="43"/>
  <c r="R110" i="43"/>
  <c r="R109" i="43"/>
  <c r="R108" i="43"/>
  <c r="R107" i="43"/>
  <c r="R106" i="43"/>
  <c r="R105" i="43"/>
  <c r="R104" i="43"/>
  <c r="R103" i="43"/>
  <c r="R102" i="43"/>
  <c r="R101" i="43"/>
  <c r="R100" i="43"/>
  <c r="R99" i="43"/>
  <c r="R98" i="43"/>
  <c r="R97" i="43"/>
  <c r="R96" i="43"/>
  <c r="R95" i="43"/>
  <c r="R94" i="43"/>
  <c r="R93" i="43"/>
  <c r="R92" i="43"/>
  <c r="R91" i="43"/>
  <c r="R90" i="43"/>
  <c r="R89" i="43"/>
  <c r="R88" i="43"/>
  <c r="R87" i="43"/>
  <c r="R86" i="43"/>
  <c r="R85" i="43"/>
  <c r="R84" i="43"/>
  <c r="R83" i="43"/>
  <c r="R82" i="43"/>
  <c r="R81" i="43"/>
  <c r="R80" i="43"/>
  <c r="R79" i="43"/>
  <c r="R78" i="43"/>
  <c r="R77" i="43"/>
  <c r="R76" i="43"/>
  <c r="R75" i="43"/>
  <c r="R74" i="43"/>
  <c r="R73" i="43"/>
  <c r="R72" i="43"/>
  <c r="R71" i="43"/>
  <c r="R70" i="43"/>
  <c r="R69" i="43"/>
  <c r="R68" i="43"/>
  <c r="R67" i="43"/>
  <c r="R66" i="43"/>
  <c r="R65" i="43"/>
  <c r="R64" i="43"/>
  <c r="R63" i="43"/>
  <c r="R62" i="43"/>
  <c r="R61" i="43"/>
  <c r="R60" i="43"/>
  <c r="R59" i="43"/>
  <c r="R58" i="43"/>
  <c r="R57" i="43"/>
  <c r="R56" i="43"/>
  <c r="R55" i="43"/>
  <c r="R54" i="43"/>
  <c r="R53" i="43"/>
  <c r="R52" i="43"/>
  <c r="R51" i="43"/>
  <c r="R50" i="43"/>
  <c r="R47" i="43"/>
  <c r="S47" i="43" s="1"/>
  <c r="R43" i="43"/>
  <c r="S43" i="43" s="1"/>
  <c r="B4" i="43"/>
  <c r="B3" i="43"/>
  <c r="B37" i="44"/>
  <c r="B36" i="43"/>
  <c r="C36" i="43"/>
  <c r="U34" i="90" l="1"/>
  <c r="T86" i="90" s="1"/>
  <c r="U29" i="90"/>
  <c r="U19" i="90"/>
  <c r="F58" i="87"/>
  <c r="U37" i="90"/>
  <c r="U18" i="90"/>
  <c r="U22" i="90"/>
  <c r="U14" i="90"/>
  <c r="U14" i="92"/>
  <c r="U34" i="96"/>
  <c r="U20" i="96"/>
  <c r="B38" i="98"/>
  <c r="U22" i="100"/>
  <c r="U33" i="100"/>
  <c r="U25" i="100"/>
  <c r="U37" i="100"/>
  <c r="T92" i="100" s="1"/>
  <c r="U26" i="100"/>
  <c r="X14" i="100"/>
  <c r="U29" i="100"/>
  <c r="U14" i="102"/>
  <c r="T46" i="102" s="1"/>
  <c r="I122" i="106"/>
  <c r="U36" i="106"/>
  <c r="U24" i="106"/>
  <c r="U16" i="106"/>
  <c r="U32" i="106"/>
  <c r="U27" i="106"/>
  <c r="U34" i="106"/>
  <c r="U3" i="106"/>
  <c r="V3" i="106" s="1"/>
  <c r="J122" i="108"/>
  <c r="I122" i="108"/>
  <c r="I123" i="113"/>
  <c r="U14" i="113"/>
  <c r="T46" i="113" s="1"/>
  <c r="B38" i="118"/>
  <c r="X14" i="118" s="1"/>
  <c r="F57" i="87"/>
  <c r="U34" i="100"/>
  <c r="U32" i="100"/>
  <c r="W32" i="100" s="1"/>
  <c r="U16" i="100"/>
  <c r="U30" i="100"/>
  <c r="I123" i="104"/>
  <c r="U15" i="106"/>
  <c r="U26" i="106"/>
  <c r="U18" i="106"/>
  <c r="U38" i="106"/>
  <c r="U30" i="106"/>
  <c r="U35" i="106"/>
  <c r="F57" i="106"/>
  <c r="J123" i="108"/>
  <c r="I122" i="111"/>
  <c r="J123" i="113"/>
  <c r="I122" i="116"/>
  <c r="I123" i="116"/>
  <c r="U30" i="119"/>
  <c r="T79" i="119" s="1"/>
  <c r="B38" i="95"/>
  <c r="X14" i="95" s="1"/>
  <c r="U26" i="96"/>
  <c r="J123" i="98"/>
  <c r="U20" i="87"/>
  <c r="T58" i="87" s="1"/>
  <c r="U19" i="96"/>
  <c r="U37" i="96"/>
  <c r="U27" i="100"/>
  <c r="U35" i="100"/>
  <c r="U38" i="100"/>
  <c r="U31" i="100"/>
  <c r="U24" i="100"/>
  <c r="U28" i="100"/>
  <c r="U17" i="100"/>
  <c r="U18" i="100"/>
  <c r="I122" i="105"/>
  <c r="U20" i="106"/>
  <c r="U17" i="106"/>
  <c r="U31" i="106"/>
  <c r="U21" i="106"/>
  <c r="U19" i="106"/>
  <c r="T57" i="106" s="1"/>
  <c r="U28" i="106"/>
  <c r="U37" i="106"/>
  <c r="U36" i="109"/>
  <c r="T91" i="109" s="1"/>
  <c r="J122" i="111"/>
  <c r="J123" i="112"/>
  <c r="J123" i="116"/>
  <c r="U16" i="117"/>
  <c r="T50" i="117" s="1"/>
  <c r="U25" i="119"/>
  <c r="F57" i="112"/>
  <c r="B38" i="112"/>
  <c r="U32" i="112" s="1"/>
  <c r="U22" i="112"/>
  <c r="T63" i="112" s="1"/>
  <c r="U14" i="112"/>
  <c r="U39" i="112"/>
  <c r="T97" i="112" s="1"/>
  <c r="I123" i="111"/>
  <c r="J122" i="110"/>
  <c r="U37" i="109"/>
  <c r="X14" i="108"/>
  <c r="U19" i="108"/>
  <c r="T56" i="108" s="1"/>
  <c r="U39" i="108"/>
  <c r="T96" i="108" s="1"/>
  <c r="U22" i="108"/>
  <c r="U33" i="108"/>
  <c r="W33" i="108" s="1"/>
  <c r="U37" i="108"/>
  <c r="U26" i="108"/>
  <c r="T71" i="108" s="1"/>
  <c r="U21" i="108"/>
  <c r="U25" i="108"/>
  <c r="T68" i="108" s="1"/>
  <c r="U38" i="108"/>
  <c r="W38" i="108" s="1"/>
  <c r="U34" i="108"/>
  <c r="T87" i="108" s="1"/>
  <c r="U27" i="108"/>
  <c r="U16" i="108"/>
  <c r="T50" i="108" s="1"/>
  <c r="U20" i="108"/>
  <c r="U35" i="108"/>
  <c r="T88" i="108" s="1"/>
  <c r="U23" i="108"/>
  <c r="U18" i="108"/>
  <c r="T55" i="108" s="1"/>
  <c r="U31" i="108"/>
  <c r="U15" i="108"/>
  <c r="T49" i="108" s="1"/>
  <c r="U30" i="108"/>
  <c r="U36" i="108"/>
  <c r="T91" i="108" s="1"/>
  <c r="U17" i="108"/>
  <c r="T52" i="108" s="1"/>
  <c r="U24" i="108"/>
  <c r="T66" i="108" s="1"/>
  <c r="U32" i="108"/>
  <c r="U28" i="108"/>
  <c r="T75" i="108" s="1"/>
  <c r="U29" i="108"/>
  <c r="I123" i="108"/>
  <c r="I122" i="104"/>
  <c r="J123" i="104"/>
  <c r="J122" i="104"/>
  <c r="B29" i="100"/>
  <c r="B23" i="99"/>
  <c r="H58" i="99"/>
  <c r="B29" i="96"/>
  <c r="U18" i="93"/>
  <c r="U34" i="93"/>
  <c r="U33" i="90"/>
  <c r="U16" i="90"/>
  <c r="U27" i="90"/>
  <c r="U28" i="90"/>
  <c r="T87" i="90"/>
  <c r="U25" i="90"/>
  <c r="X14" i="90"/>
  <c r="U32" i="90"/>
  <c r="U26" i="90"/>
  <c r="U38" i="90"/>
  <c r="T94" i="90" s="1"/>
  <c r="U21" i="90"/>
  <c r="U31" i="90"/>
  <c r="U23" i="90"/>
  <c r="I57" i="89"/>
  <c r="I58" i="89"/>
  <c r="H58" i="88"/>
  <c r="U5" i="88"/>
  <c r="V5" i="88" s="1"/>
  <c r="U35" i="87"/>
  <c r="J122" i="87"/>
  <c r="U38" i="87"/>
  <c r="T94" i="87" s="1"/>
  <c r="U21" i="87"/>
  <c r="U26" i="87"/>
  <c r="U17" i="87"/>
  <c r="U36" i="87"/>
  <c r="W36" i="87" s="1"/>
  <c r="U16" i="87"/>
  <c r="U15" i="86"/>
  <c r="U27" i="86"/>
  <c r="U32" i="86"/>
  <c r="T83" i="86" s="1"/>
  <c r="B40" i="122"/>
  <c r="A103" i="122"/>
  <c r="E103" i="122"/>
  <c r="B39" i="122"/>
  <c r="B41" i="122" s="1"/>
  <c r="C104" i="122"/>
  <c r="C102" i="122"/>
  <c r="G102" i="122"/>
  <c r="G103" i="122" s="1"/>
  <c r="E102" i="122"/>
  <c r="D104" i="122"/>
  <c r="D102" i="122"/>
  <c r="A103" i="121"/>
  <c r="G102" i="121"/>
  <c r="G103" i="121" s="1"/>
  <c r="B40" i="121"/>
  <c r="E103" i="121"/>
  <c r="C102" i="121"/>
  <c r="C104" i="121"/>
  <c r="E102" i="121"/>
  <c r="B39" i="121"/>
  <c r="B41" i="121" s="1"/>
  <c r="D104" i="121"/>
  <c r="D102" i="121"/>
  <c r="A103" i="120"/>
  <c r="B40" i="120"/>
  <c r="C102" i="120"/>
  <c r="E102" i="120"/>
  <c r="E103" i="120"/>
  <c r="G102" i="120"/>
  <c r="G103" i="120" s="1"/>
  <c r="C104" i="120"/>
  <c r="B39" i="120"/>
  <c r="D102" i="120"/>
  <c r="D104" i="120"/>
  <c r="B13" i="96"/>
  <c r="U38" i="96"/>
  <c r="W38" i="96" s="1"/>
  <c r="U39" i="96"/>
  <c r="T97" i="96" s="1"/>
  <c r="U17" i="96"/>
  <c r="U25" i="96"/>
  <c r="T69" i="96" s="1"/>
  <c r="U29" i="96"/>
  <c r="T77" i="96" s="1"/>
  <c r="U23" i="96"/>
  <c r="T65" i="96" s="1"/>
  <c r="U30" i="96"/>
  <c r="U21" i="96"/>
  <c r="U28" i="96"/>
  <c r="T75" i="96" s="1"/>
  <c r="U22" i="96"/>
  <c r="T63" i="96" s="1"/>
  <c r="U27" i="96"/>
  <c r="U35" i="96"/>
  <c r="T89" i="96" s="1"/>
  <c r="U15" i="96"/>
  <c r="W15" i="96" s="1"/>
  <c r="U18" i="96"/>
  <c r="W18" i="96" s="1"/>
  <c r="U33" i="96"/>
  <c r="U32" i="96"/>
  <c r="W33" i="96" s="1"/>
  <c r="U24" i="96"/>
  <c r="T67" i="96" s="1"/>
  <c r="U31" i="96"/>
  <c r="U33" i="119"/>
  <c r="U21" i="119"/>
  <c r="T47" i="119"/>
  <c r="U24" i="119"/>
  <c r="I123" i="119"/>
  <c r="U3" i="118"/>
  <c r="V3" i="118" s="1"/>
  <c r="U30" i="118"/>
  <c r="T78" i="118" s="1"/>
  <c r="U19" i="118"/>
  <c r="U34" i="118"/>
  <c r="U31" i="118"/>
  <c r="U25" i="118"/>
  <c r="T69" i="118" s="1"/>
  <c r="U35" i="118"/>
  <c r="B13" i="118"/>
  <c r="U23" i="118"/>
  <c r="U18" i="118"/>
  <c r="T54" i="118" s="1"/>
  <c r="U20" i="118"/>
  <c r="U24" i="118"/>
  <c r="U21" i="118"/>
  <c r="U22" i="118"/>
  <c r="W22" i="118" s="1"/>
  <c r="U25" i="117"/>
  <c r="U31" i="117"/>
  <c r="I123" i="117"/>
  <c r="U28" i="117"/>
  <c r="W28" i="117" s="1"/>
  <c r="U26" i="117"/>
  <c r="U32" i="117"/>
  <c r="U22" i="117"/>
  <c r="U24" i="117"/>
  <c r="T67" i="117" s="1"/>
  <c r="U29" i="117"/>
  <c r="B38" i="115"/>
  <c r="X14" i="113"/>
  <c r="U19" i="113"/>
  <c r="U39" i="113"/>
  <c r="T97" i="113" s="1"/>
  <c r="U27" i="113"/>
  <c r="T72" i="113" s="1"/>
  <c r="U22" i="113"/>
  <c r="U29" i="113"/>
  <c r="U38" i="113"/>
  <c r="T94" i="113" s="1"/>
  <c r="U24" i="113"/>
  <c r="U35" i="113"/>
  <c r="U20" i="113"/>
  <c r="U37" i="113"/>
  <c r="T92" i="113" s="1"/>
  <c r="U21" i="113"/>
  <c r="T60" i="113" s="1"/>
  <c r="U31" i="113"/>
  <c r="U23" i="113"/>
  <c r="U34" i="113"/>
  <c r="T86" i="113" s="1"/>
  <c r="U15" i="113"/>
  <c r="U33" i="113"/>
  <c r="U17" i="113"/>
  <c r="U30" i="113"/>
  <c r="T78" i="113" s="1"/>
  <c r="U16" i="113"/>
  <c r="U32" i="113"/>
  <c r="U28" i="113"/>
  <c r="U26" i="113"/>
  <c r="T70" i="113" s="1"/>
  <c r="U36" i="113"/>
  <c r="U18" i="113"/>
  <c r="U25" i="113"/>
  <c r="I123" i="112"/>
  <c r="I122" i="112"/>
  <c r="J122" i="112"/>
  <c r="X14" i="111"/>
  <c r="U27" i="111"/>
  <c r="T72" i="111" s="1"/>
  <c r="U25" i="111"/>
  <c r="T69" i="111" s="1"/>
  <c r="U15" i="111"/>
  <c r="U33" i="111"/>
  <c r="U18" i="111"/>
  <c r="W19" i="111" s="1"/>
  <c r="U16" i="111"/>
  <c r="U35" i="111"/>
  <c r="U22" i="111"/>
  <c r="U30" i="111"/>
  <c r="W30" i="111" s="1"/>
  <c r="U39" i="111"/>
  <c r="T97" i="111" s="1"/>
  <c r="U19" i="111"/>
  <c r="U37" i="111"/>
  <c r="U20" i="111"/>
  <c r="T58" i="111" s="1"/>
  <c r="U21" i="111"/>
  <c r="W21" i="111" s="1"/>
  <c r="U23" i="111"/>
  <c r="U38" i="111"/>
  <c r="U36" i="111"/>
  <c r="T90" i="111" s="1"/>
  <c r="U26" i="111"/>
  <c r="T71" i="111" s="1"/>
  <c r="U24" i="111"/>
  <c r="U32" i="111"/>
  <c r="U31" i="111"/>
  <c r="W31" i="111" s="1"/>
  <c r="U28" i="111"/>
  <c r="U17" i="111"/>
  <c r="U29" i="111"/>
  <c r="B13" i="111"/>
  <c r="U34" i="111"/>
  <c r="W35" i="111" s="1"/>
  <c r="B38" i="110"/>
  <c r="I123" i="110"/>
  <c r="U3" i="110"/>
  <c r="V3" i="110" s="1"/>
  <c r="F57" i="110"/>
  <c r="B13" i="110"/>
  <c r="U30" i="109"/>
  <c r="T79" i="109" s="1"/>
  <c r="U16" i="109"/>
  <c r="W17" i="109" s="1"/>
  <c r="U27" i="109"/>
  <c r="T73" i="109" s="1"/>
  <c r="U17" i="109"/>
  <c r="U35" i="109"/>
  <c r="T88" i="109" s="1"/>
  <c r="U18" i="109"/>
  <c r="T55" i="109" s="1"/>
  <c r="U31" i="109"/>
  <c r="J123" i="109"/>
  <c r="I122" i="109"/>
  <c r="U20" i="109"/>
  <c r="T59" i="109" s="1"/>
  <c r="U15" i="109"/>
  <c r="I123" i="109"/>
  <c r="U33" i="109"/>
  <c r="T84" i="109" s="1"/>
  <c r="U21" i="109"/>
  <c r="W21" i="109" s="1"/>
  <c r="U23" i="109"/>
  <c r="T65" i="109" s="1"/>
  <c r="B28" i="107"/>
  <c r="H70" i="107"/>
  <c r="J70" i="107" s="1"/>
  <c r="H85" i="107"/>
  <c r="K85" i="107" s="1"/>
  <c r="H100" i="107"/>
  <c r="J100" i="107" s="1"/>
  <c r="C31" i="107"/>
  <c r="U8" i="107" s="1"/>
  <c r="V8" i="107" s="1"/>
  <c r="H65" i="107"/>
  <c r="J65" i="107" s="1"/>
  <c r="H66" i="107"/>
  <c r="J66" i="107" s="1"/>
  <c r="H90" i="107"/>
  <c r="H110" i="107"/>
  <c r="H96" i="107"/>
  <c r="J96" i="107" s="1"/>
  <c r="H69" i="107"/>
  <c r="I69" i="107" s="1"/>
  <c r="H64" i="107"/>
  <c r="J64" i="107" s="1"/>
  <c r="H74" i="107"/>
  <c r="H102" i="107"/>
  <c r="K102" i="107" s="1"/>
  <c r="H80" i="107"/>
  <c r="J80" i="107" s="1"/>
  <c r="H83" i="107"/>
  <c r="J83" i="107" s="1"/>
  <c r="I57" i="107"/>
  <c r="U9" i="107"/>
  <c r="V9" i="107" s="1"/>
  <c r="I123" i="107"/>
  <c r="C32" i="107"/>
  <c r="U10" i="107" s="1"/>
  <c r="V10" i="107" s="1"/>
  <c r="H86" i="107"/>
  <c r="H108" i="107"/>
  <c r="K108" i="107" s="1"/>
  <c r="H84" i="107"/>
  <c r="J84" i="107" s="1"/>
  <c r="H101" i="107"/>
  <c r="B38" i="107"/>
  <c r="B13" i="106"/>
  <c r="I123" i="106"/>
  <c r="B13" i="105"/>
  <c r="I123" i="105"/>
  <c r="H57" i="104"/>
  <c r="B38" i="104"/>
  <c r="I122" i="102"/>
  <c r="I123" i="102"/>
  <c r="X14" i="102"/>
  <c r="U34" i="102"/>
  <c r="U27" i="102"/>
  <c r="W28" i="102" s="1"/>
  <c r="U26" i="102"/>
  <c r="T71" i="102" s="1"/>
  <c r="U39" i="102"/>
  <c r="U19" i="102"/>
  <c r="U16" i="102"/>
  <c r="U22" i="102"/>
  <c r="T63" i="102" s="1"/>
  <c r="U30" i="102"/>
  <c r="U28" i="102"/>
  <c r="U38" i="102"/>
  <c r="U37" i="102"/>
  <c r="T92" i="102" s="1"/>
  <c r="U17" i="102"/>
  <c r="U29" i="102"/>
  <c r="U31" i="102"/>
  <c r="U23" i="102"/>
  <c r="T65" i="102" s="1"/>
  <c r="U32" i="102"/>
  <c r="U15" i="102"/>
  <c r="U18" i="102"/>
  <c r="U33" i="102"/>
  <c r="T84" i="102" s="1"/>
  <c r="U21" i="102"/>
  <c r="U36" i="102"/>
  <c r="U35" i="102"/>
  <c r="W35" i="102" s="1"/>
  <c r="U25" i="102"/>
  <c r="T68" i="102" s="1"/>
  <c r="U20" i="102"/>
  <c r="U24" i="102"/>
  <c r="B13" i="102"/>
  <c r="U34" i="101"/>
  <c r="U35" i="101"/>
  <c r="U16" i="101"/>
  <c r="T50" i="101" s="1"/>
  <c r="I123" i="101"/>
  <c r="U39" i="101"/>
  <c r="U28" i="101"/>
  <c r="U24" i="101"/>
  <c r="T66" i="101" s="1"/>
  <c r="U21" i="101"/>
  <c r="U31" i="101"/>
  <c r="U19" i="101"/>
  <c r="U25" i="101"/>
  <c r="W25" i="101" s="1"/>
  <c r="U22" i="101"/>
  <c r="T91" i="100"/>
  <c r="T90" i="100"/>
  <c r="I57" i="100"/>
  <c r="U9" i="100"/>
  <c r="V9" i="100" s="1"/>
  <c r="I123" i="100"/>
  <c r="I122" i="99"/>
  <c r="J122" i="99"/>
  <c r="I123" i="99"/>
  <c r="J123" i="99"/>
  <c r="B38" i="99"/>
  <c r="I122" i="98"/>
  <c r="U9" i="98"/>
  <c r="V9" i="98" s="1"/>
  <c r="I57" i="98"/>
  <c r="J122" i="97"/>
  <c r="I122" i="97"/>
  <c r="I123" i="97"/>
  <c r="H65" i="96"/>
  <c r="R30" i="96"/>
  <c r="B31" i="96" s="1"/>
  <c r="J123" i="96"/>
  <c r="H76" i="96"/>
  <c r="K76" i="96" s="1"/>
  <c r="J122" i="96"/>
  <c r="I122" i="96"/>
  <c r="H90" i="96"/>
  <c r="U22" i="93"/>
  <c r="T62" i="93" s="1"/>
  <c r="I122" i="93"/>
  <c r="U27" i="93"/>
  <c r="U38" i="93"/>
  <c r="T95" i="93" s="1"/>
  <c r="J123" i="93"/>
  <c r="I123" i="93"/>
  <c r="U25" i="93"/>
  <c r="X14" i="92"/>
  <c r="U25" i="92"/>
  <c r="U21" i="92"/>
  <c r="U31" i="92"/>
  <c r="U23" i="92"/>
  <c r="U38" i="92"/>
  <c r="U22" i="92"/>
  <c r="U37" i="92"/>
  <c r="U19" i="92"/>
  <c r="U18" i="92"/>
  <c r="U27" i="92"/>
  <c r="U17" i="92"/>
  <c r="U36" i="92"/>
  <c r="U20" i="92"/>
  <c r="U29" i="92"/>
  <c r="U33" i="92"/>
  <c r="U16" i="92"/>
  <c r="U26" i="92"/>
  <c r="U35" i="92"/>
  <c r="U15" i="92"/>
  <c r="U30" i="92"/>
  <c r="T78" i="92" s="1"/>
  <c r="U32" i="92"/>
  <c r="U34" i="92"/>
  <c r="U24" i="92"/>
  <c r="U39" i="92"/>
  <c r="T96" i="92" s="1"/>
  <c r="U28" i="92"/>
  <c r="U5" i="92"/>
  <c r="V5" i="92" s="1"/>
  <c r="I122" i="92"/>
  <c r="J122" i="92"/>
  <c r="I123" i="92"/>
  <c r="I122" i="95"/>
  <c r="J122" i="89"/>
  <c r="U16" i="89"/>
  <c r="W16" i="89" s="1"/>
  <c r="U24" i="89"/>
  <c r="U32" i="89"/>
  <c r="U31" i="89"/>
  <c r="I122" i="89"/>
  <c r="U19" i="89"/>
  <c r="T57" i="89" s="1"/>
  <c r="U15" i="89"/>
  <c r="U29" i="89"/>
  <c r="U31" i="88"/>
  <c r="T80" i="88" s="1"/>
  <c r="U22" i="88"/>
  <c r="U27" i="88"/>
  <c r="U28" i="87"/>
  <c r="U23" i="87"/>
  <c r="U31" i="87"/>
  <c r="T80" i="87" s="1"/>
  <c r="U16" i="86"/>
  <c r="T51" i="86" s="1"/>
  <c r="U22" i="86"/>
  <c r="U21" i="86"/>
  <c r="U24" i="86"/>
  <c r="T67" i="86" s="1"/>
  <c r="U30" i="86"/>
  <c r="T78" i="86" s="1"/>
  <c r="U34" i="86"/>
  <c r="T86" i="86" s="1"/>
  <c r="U31" i="86"/>
  <c r="H72" i="45"/>
  <c r="J72" i="45" s="1"/>
  <c r="J120" i="44"/>
  <c r="I120" i="44"/>
  <c r="F113" i="44"/>
  <c r="G113" i="44" s="1"/>
  <c r="F109" i="44"/>
  <c r="G109" i="44" s="1"/>
  <c r="F105" i="44"/>
  <c r="G105" i="44" s="1"/>
  <c r="F101" i="44"/>
  <c r="G101" i="44" s="1"/>
  <c r="F97" i="44"/>
  <c r="G97" i="44" s="1"/>
  <c r="F93" i="44"/>
  <c r="G93" i="44" s="1"/>
  <c r="F89" i="44"/>
  <c r="G89" i="44" s="1"/>
  <c r="F85" i="44"/>
  <c r="G85" i="44" s="1"/>
  <c r="F81" i="44"/>
  <c r="G81" i="44" s="1"/>
  <c r="F77" i="44"/>
  <c r="G77" i="44" s="1"/>
  <c r="F69" i="44"/>
  <c r="G69" i="44" s="1"/>
  <c r="F111" i="44"/>
  <c r="G111" i="44" s="1"/>
  <c r="F103" i="44"/>
  <c r="G103" i="44" s="1"/>
  <c r="F95" i="44"/>
  <c r="G95" i="44" s="1"/>
  <c r="F83" i="44"/>
  <c r="G83" i="44" s="1"/>
  <c r="F75" i="44"/>
  <c r="G75" i="44" s="1"/>
  <c r="F67" i="44"/>
  <c r="G67" i="44" s="1"/>
  <c r="F112" i="44"/>
  <c r="G112" i="44" s="1"/>
  <c r="F108" i="44"/>
  <c r="G108" i="44" s="1"/>
  <c r="F104" i="44"/>
  <c r="G104" i="44" s="1"/>
  <c r="F100" i="44"/>
  <c r="G100" i="44" s="1"/>
  <c r="F96" i="44"/>
  <c r="G96" i="44" s="1"/>
  <c r="F92" i="44"/>
  <c r="G92" i="44" s="1"/>
  <c r="F88" i="44"/>
  <c r="G88" i="44" s="1"/>
  <c r="F84" i="44"/>
  <c r="G84" i="44" s="1"/>
  <c r="F80" i="44"/>
  <c r="G80" i="44" s="1"/>
  <c r="F76" i="44"/>
  <c r="G76" i="44" s="1"/>
  <c r="F72" i="44"/>
  <c r="G72" i="44" s="1"/>
  <c r="F68" i="44"/>
  <c r="G68" i="44" s="1"/>
  <c r="F64" i="44"/>
  <c r="G64" i="44" s="1"/>
  <c r="F91" i="44"/>
  <c r="G91" i="44" s="1"/>
  <c r="F63" i="44"/>
  <c r="G63" i="44" s="1"/>
  <c r="C22" i="44"/>
  <c r="U9" i="44" s="1"/>
  <c r="V9" i="44" s="1"/>
  <c r="F110" i="44"/>
  <c r="G110" i="44" s="1"/>
  <c r="F106" i="44"/>
  <c r="G106" i="44" s="1"/>
  <c r="F102" i="44"/>
  <c r="G102" i="44" s="1"/>
  <c r="F98" i="44"/>
  <c r="G98" i="44" s="1"/>
  <c r="F94" i="44"/>
  <c r="G94" i="44" s="1"/>
  <c r="F90" i="44"/>
  <c r="G90" i="44" s="1"/>
  <c r="F86" i="44"/>
  <c r="G86" i="44" s="1"/>
  <c r="F82" i="44"/>
  <c r="G82" i="44" s="1"/>
  <c r="F78" i="44"/>
  <c r="G78" i="44" s="1"/>
  <c r="F74" i="44"/>
  <c r="G74" i="44" s="1"/>
  <c r="F70" i="44"/>
  <c r="G70" i="44" s="1"/>
  <c r="F66" i="44"/>
  <c r="G66" i="44" s="1"/>
  <c r="F73" i="44"/>
  <c r="G73" i="44" s="1"/>
  <c r="F65" i="44"/>
  <c r="G65" i="44" s="1"/>
  <c r="F107" i="44"/>
  <c r="G107" i="44" s="1"/>
  <c r="F99" i="44"/>
  <c r="G99" i="44" s="1"/>
  <c r="F87" i="44"/>
  <c r="G87" i="44" s="1"/>
  <c r="F79" i="44"/>
  <c r="G79" i="44" s="1"/>
  <c r="F71" i="44"/>
  <c r="G71" i="44" s="1"/>
  <c r="R25" i="44"/>
  <c r="R27" i="44"/>
  <c r="R26" i="44"/>
  <c r="B18" i="44"/>
  <c r="H111" i="119"/>
  <c r="H107" i="119"/>
  <c r="H103" i="119"/>
  <c r="H99" i="119"/>
  <c r="H97" i="119"/>
  <c r="H93" i="119"/>
  <c r="H89" i="119"/>
  <c r="H85" i="119"/>
  <c r="H81" i="119"/>
  <c r="H77" i="119"/>
  <c r="H73" i="119"/>
  <c r="H69" i="119"/>
  <c r="H113" i="119"/>
  <c r="H109" i="119"/>
  <c r="H105" i="119"/>
  <c r="H101" i="119"/>
  <c r="H95" i="119"/>
  <c r="H91" i="119"/>
  <c r="H110" i="119"/>
  <c r="H106" i="119"/>
  <c r="H102" i="119"/>
  <c r="H98" i="119"/>
  <c r="H94" i="119"/>
  <c r="H90" i="119"/>
  <c r="H86" i="119"/>
  <c r="H96" i="119"/>
  <c r="H92" i="119"/>
  <c r="H82" i="119"/>
  <c r="H78" i="119"/>
  <c r="H74" i="119"/>
  <c r="H70" i="119"/>
  <c r="H65" i="119"/>
  <c r="H108" i="119"/>
  <c r="H100" i="119"/>
  <c r="H88" i="119"/>
  <c r="H83" i="119"/>
  <c r="H79" i="119"/>
  <c r="H75" i="119"/>
  <c r="H71" i="119"/>
  <c r="H64" i="119"/>
  <c r="H87" i="119"/>
  <c r="H84" i="119"/>
  <c r="H80" i="119"/>
  <c r="H112" i="119"/>
  <c r="H104" i="119"/>
  <c r="H66" i="119"/>
  <c r="R28" i="119"/>
  <c r="H72" i="119"/>
  <c r="H67" i="119"/>
  <c r="R31" i="119"/>
  <c r="B32" i="119" s="1"/>
  <c r="B29" i="119"/>
  <c r="B27" i="119"/>
  <c r="H63" i="119"/>
  <c r="C32" i="119"/>
  <c r="U10" i="119" s="1"/>
  <c r="V10" i="119" s="1"/>
  <c r="R30" i="119"/>
  <c r="B31" i="119" s="1"/>
  <c r="H76" i="119"/>
  <c r="H68" i="119"/>
  <c r="C31" i="119"/>
  <c r="U8" i="119" s="1"/>
  <c r="V8" i="119" s="1"/>
  <c r="R29" i="119"/>
  <c r="B28" i="119"/>
  <c r="T60" i="119"/>
  <c r="T61" i="119"/>
  <c r="U36" i="119"/>
  <c r="U31" i="119"/>
  <c r="U23" i="119"/>
  <c r="U22" i="119"/>
  <c r="U19" i="119"/>
  <c r="X14" i="119"/>
  <c r="U34" i="119"/>
  <c r="U17" i="119"/>
  <c r="G58" i="119"/>
  <c r="G57" i="119"/>
  <c r="U7" i="119"/>
  <c r="V7" i="119" s="1"/>
  <c r="I57" i="119"/>
  <c r="U9" i="119"/>
  <c r="V9" i="119" s="1"/>
  <c r="I58" i="119"/>
  <c r="U32" i="119"/>
  <c r="U27" i="119"/>
  <c r="U18" i="119"/>
  <c r="T46" i="119"/>
  <c r="U35" i="119"/>
  <c r="U20" i="119"/>
  <c r="U15" i="119"/>
  <c r="W16" i="119" s="1"/>
  <c r="U38" i="119"/>
  <c r="T51" i="119"/>
  <c r="T50" i="119"/>
  <c r="T74" i="119"/>
  <c r="T75" i="119"/>
  <c r="U29" i="119"/>
  <c r="U39" i="119"/>
  <c r="T84" i="119"/>
  <c r="T85" i="119"/>
  <c r="W33" i="119"/>
  <c r="U26" i="119"/>
  <c r="U37" i="119"/>
  <c r="I122" i="118"/>
  <c r="G57" i="118"/>
  <c r="G58" i="118"/>
  <c r="U7" i="118"/>
  <c r="V7" i="118" s="1"/>
  <c r="U17" i="118"/>
  <c r="U27" i="118"/>
  <c r="U16" i="118"/>
  <c r="U38" i="118"/>
  <c r="U15" i="118"/>
  <c r="U33" i="118"/>
  <c r="W34" i="118" s="1"/>
  <c r="U37" i="118"/>
  <c r="T64" i="118"/>
  <c r="T65" i="118"/>
  <c r="W23" i="118"/>
  <c r="T79" i="118"/>
  <c r="T57" i="118"/>
  <c r="T87" i="118"/>
  <c r="T86" i="118"/>
  <c r="T67" i="118"/>
  <c r="T66" i="118"/>
  <c r="W24" i="118"/>
  <c r="T80" i="118"/>
  <c r="T81" i="118"/>
  <c r="W31" i="118"/>
  <c r="T61" i="118"/>
  <c r="T60" i="118"/>
  <c r="T68" i="118"/>
  <c r="T62" i="118"/>
  <c r="T88" i="118"/>
  <c r="H111" i="118"/>
  <c r="H107" i="118"/>
  <c r="H103" i="118"/>
  <c r="H99" i="118"/>
  <c r="H97" i="118"/>
  <c r="H93" i="118"/>
  <c r="H89" i="118"/>
  <c r="H85" i="118"/>
  <c r="H81" i="118"/>
  <c r="H77" i="118"/>
  <c r="H73" i="118"/>
  <c r="H69" i="118"/>
  <c r="H113" i="118"/>
  <c r="H109" i="118"/>
  <c r="H105" i="118"/>
  <c r="H101" i="118"/>
  <c r="H95" i="118"/>
  <c r="H96" i="118"/>
  <c r="H91" i="118"/>
  <c r="H87" i="118"/>
  <c r="H83" i="118"/>
  <c r="H79" i="118"/>
  <c r="H75" i="118"/>
  <c r="H71" i="118"/>
  <c r="H64" i="118"/>
  <c r="H92" i="118"/>
  <c r="H88" i="118"/>
  <c r="H84" i="118"/>
  <c r="H80" i="118"/>
  <c r="H76" i="118"/>
  <c r="H72" i="118"/>
  <c r="H68" i="118"/>
  <c r="H67" i="118"/>
  <c r="H63" i="118"/>
  <c r="H112" i="118"/>
  <c r="H110" i="118"/>
  <c r="H108" i="118"/>
  <c r="H106" i="118"/>
  <c r="H104" i="118"/>
  <c r="H102" i="118"/>
  <c r="H100" i="118"/>
  <c r="H98" i="118"/>
  <c r="H94" i="118"/>
  <c r="H90" i="118"/>
  <c r="H86" i="118"/>
  <c r="H82" i="118"/>
  <c r="H78" i="118"/>
  <c r="H74" i="118"/>
  <c r="H70" i="118"/>
  <c r="H65" i="118"/>
  <c r="R31" i="118"/>
  <c r="B32" i="118" s="1"/>
  <c r="R30" i="118"/>
  <c r="B31" i="118" s="1"/>
  <c r="B28" i="118"/>
  <c r="B27" i="118"/>
  <c r="H66" i="118"/>
  <c r="B29" i="118"/>
  <c r="R28" i="118"/>
  <c r="C32" i="118"/>
  <c r="U10" i="118" s="1"/>
  <c r="V10" i="118" s="1"/>
  <c r="C31" i="118"/>
  <c r="U8" i="118" s="1"/>
  <c r="V8" i="118" s="1"/>
  <c r="R29" i="118"/>
  <c r="T46" i="118"/>
  <c r="T47" i="118"/>
  <c r="U26" i="118"/>
  <c r="U39" i="118"/>
  <c r="U29" i="118"/>
  <c r="U32" i="118"/>
  <c r="U28" i="118"/>
  <c r="U36" i="118"/>
  <c r="G58" i="117"/>
  <c r="G57" i="117"/>
  <c r="U7" i="117"/>
  <c r="V7" i="117" s="1"/>
  <c r="J123" i="117"/>
  <c r="F57" i="117"/>
  <c r="U3" i="117"/>
  <c r="V3" i="117" s="1"/>
  <c r="F58" i="117"/>
  <c r="U15" i="117"/>
  <c r="U36" i="117"/>
  <c r="U17" i="117"/>
  <c r="U27" i="117"/>
  <c r="U18" i="117"/>
  <c r="U33" i="117"/>
  <c r="I122" i="117"/>
  <c r="I57" i="117"/>
  <c r="U9" i="117"/>
  <c r="V9" i="117" s="1"/>
  <c r="I58" i="117"/>
  <c r="U19" i="117"/>
  <c r="U20" i="117"/>
  <c r="U37" i="117"/>
  <c r="W38" i="117" s="1"/>
  <c r="U23" i="117"/>
  <c r="U30" i="117"/>
  <c r="W31" i="117" s="1"/>
  <c r="U21" i="117"/>
  <c r="W22" i="117" s="1"/>
  <c r="U34" i="117"/>
  <c r="W35" i="117" s="1"/>
  <c r="T62" i="117"/>
  <c r="T63" i="117"/>
  <c r="T95" i="117"/>
  <c r="T94" i="117"/>
  <c r="T80" i="117"/>
  <c r="T81" i="117"/>
  <c r="T76" i="117"/>
  <c r="T88" i="117"/>
  <c r="T89" i="117"/>
  <c r="H111" i="117"/>
  <c r="H107" i="117"/>
  <c r="H103" i="117"/>
  <c r="H99" i="117"/>
  <c r="H97" i="117"/>
  <c r="H93" i="117"/>
  <c r="H89" i="117"/>
  <c r="H85" i="117"/>
  <c r="H81" i="117"/>
  <c r="H77" i="117"/>
  <c r="H73" i="117"/>
  <c r="H69" i="117"/>
  <c r="H113" i="117"/>
  <c r="H109" i="117"/>
  <c r="H110" i="117"/>
  <c r="H106" i="117"/>
  <c r="H102" i="117"/>
  <c r="H95" i="117"/>
  <c r="H91" i="117"/>
  <c r="H87" i="117"/>
  <c r="H83" i="117"/>
  <c r="H79" i="117"/>
  <c r="H75" i="117"/>
  <c r="H71" i="117"/>
  <c r="H108" i="117"/>
  <c r="H104" i="117"/>
  <c r="H100" i="117"/>
  <c r="H96" i="117"/>
  <c r="H105" i="117"/>
  <c r="H101" i="117"/>
  <c r="H66" i="117"/>
  <c r="H65" i="117"/>
  <c r="H94" i="117"/>
  <c r="H92" i="117"/>
  <c r="H90" i="117"/>
  <c r="H88" i="117"/>
  <c r="H86" i="117"/>
  <c r="H84" i="117"/>
  <c r="H82" i="117"/>
  <c r="H80" i="117"/>
  <c r="H78" i="117"/>
  <c r="H76" i="117"/>
  <c r="H74" i="117"/>
  <c r="H72" i="117"/>
  <c r="H70" i="117"/>
  <c r="H68" i="117"/>
  <c r="H67" i="117"/>
  <c r="C31" i="117"/>
  <c r="U8" i="117" s="1"/>
  <c r="V8" i="117" s="1"/>
  <c r="R29" i="117"/>
  <c r="H112" i="117"/>
  <c r="H63" i="117"/>
  <c r="C32" i="117"/>
  <c r="U10" i="117" s="1"/>
  <c r="V10" i="117" s="1"/>
  <c r="R31" i="117"/>
  <c r="B32" i="117" s="1"/>
  <c r="R30" i="117"/>
  <c r="B31" i="117" s="1"/>
  <c r="B28" i="117"/>
  <c r="B27" i="117"/>
  <c r="H98" i="117"/>
  <c r="H64" i="117"/>
  <c r="B29" i="117"/>
  <c r="R28" i="117"/>
  <c r="T96" i="117"/>
  <c r="T97" i="117"/>
  <c r="W39" i="117"/>
  <c r="T75" i="117"/>
  <c r="T47" i="117"/>
  <c r="T46" i="117"/>
  <c r="T51" i="117"/>
  <c r="T83" i="117"/>
  <c r="W32" i="117"/>
  <c r="T82" i="117"/>
  <c r="T96" i="116"/>
  <c r="T97" i="116"/>
  <c r="W39" i="116"/>
  <c r="T72" i="116"/>
  <c r="T73" i="116"/>
  <c r="W27" i="116"/>
  <c r="T62" i="116"/>
  <c r="T63" i="116"/>
  <c r="W22" i="116"/>
  <c r="I57" i="116"/>
  <c r="I58" i="116"/>
  <c r="U9" i="116"/>
  <c r="V9" i="116" s="1"/>
  <c r="T84" i="116"/>
  <c r="W33" i="116"/>
  <c r="T85" i="116"/>
  <c r="T94" i="116"/>
  <c r="T95" i="116"/>
  <c r="W38" i="116"/>
  <c r="T70" i="116"/>
  <c r="T71" i="116"/>
  <c r="W26" i="116"/>
  <c r="T78" i="116"/>
  <c r="T79" i="116"/>
  <c r="W30" i="116"/>
  <c r="G57" i="116"/>
  <c r="G58" i="116"/>
  <c r="U7" i="116"/>
  <c r="V7" i="116" s="1"/>
  <c r="T61" i="116"/>
  <c r="T60" i="116"/>
  <c r="W21" i="116"/>
  <c r="T56" i="116"/>
  <c r="W19" i="116"/>
  <c r="T57" i="116"/>
  <c r="T53" i="116"/>
  <c r="T52" i="116"/>
  <c r="W17" i="116"/>
  <c r="T90" i="116"/>
  <c r="T91" i="116"/>
  <c r="W36" i="116"/>
  <c r="T66" i="116"/>
  <c r="T67" i="116"/>
  <c r="W24" i="116"/>
  <c r="T74" i="116"/>
  <c r="T75" i="116"/>
  <c r="W28" i="116"/>
  <c r="T58" i="116"/>
  <c r="W20" i="116"/>
  <c r="T59" i="116"/>
  <c r="T92" i="116"/>
  <c r="T93" i="116"/>
  <c r="W37" i="116"/>
  <c r="T80" i="116"/>
  <c r="W31" i="116"/>
  <c r="T81" i="116"/>
  <c r="T55" i="116"/>
  <c r="T54" i="116"/>
  <c r="W18" i="116"/>
  <c r="T68" i="116"/>
  <c r="W25" i="116"/>
  <c r="T69" i="116"/>
  <c r="T65" i="116"/>
  <c r="T64" i="116"/>
  <c r="W23" i="116"/>
  <c r="T88" i="116"/>
  <c r="T89" i="116"/>
  <c r="W35" i="116"/>
  <c r="H111" i="116"/>
  <c r="H107" i="116"/>
  <c r="H103" i="116"/>
  <c r="H99" i="116"/>
  <c r="H97" i="116"/>
  <c r="H93" i="116"/>
  <c r="H89" i="116"/>
  <c r="H85" i="116"/>
  <c r="H81" i="116"/>
  <c r="H77" i="116"/>
  <c r="H73" i="116"/>
  <c r="H69" i="116"/>
  <c r="H113" i="116"/>
  <c r="H109" i="116"/>
  <c r="H105" i="116"/>
  <c r="H101" i="116"/>
  <c r="H95" i="116"/>
  <c r="H91" i="116"/>
  <c r="H110" i="116"/>
  <c r="H106" i="116"/>
  <c r="H88" i="116"/>
  <c r="H84" i="116"/>
  <c r="H80" i="116"/>
  <c r="H76" i="116"/>
  <c r="H72" i="116"/>
  <c r="H68" i="116"/>
  <c r="H67" i="116"/>
  <c r="H63" i="116"/>
  <c r="H108" i="116"/>
  <c r="H86" i="116"/>
  <c r="H82" i="116"/>
  <c r="H78" i="116"/>
  <c r="H74" i="116"/>
  <c r="H112" i="116"/>
  <c r="H104" i="116"/>
  <c r="H102" i="116"/>
  <c r="H100" i="116"/>
  <c r="H98" i="116"/>
  <c r="H94" i="116"/>
  <c r="H90" i="116"/>
  <c r="H87" i="116"/>
  <c r="H83" i="116"/>
  <c r="H79" i="116"/>
  <c r="H75" i="116"/>
  <c r="H71" i="116"/>
  <c r="H64" i="116"/>
  <c r="H96" i="116"/>
  <c r="H92" i="116"/>
  <c r="C32" i="116"/>
  <c r="U10" i="116" s="1"/>
  <c r="V10" i="116" s="1"/>
  <c r="R31" i="116"/>
  <c r="B32" i="116" s="1"/>
  <c r="R29" i="116"/>
  <c r="B28" i="116"/>
  <c r="B27" i="116"/>
  <c r="H70" i="116"/>
  <c r="H66" i="116"/>
  <c r="C31" i="116"/>
  <c r="U8" i="116" s="1"/>
  <c r="V8" i="116" s="1"/>
  <c r="R30" i="116"/>
  <c r="B31" i="116" s="1"/>
  <c r="B29" i="116"/>
  <c r="R28" i="116"/>
  <c r="H65" i="116"/>
  <c r="T49" i="116"/>
  <c r="V15" i="116"/>
  <c r="X15" i="116" s="1"/>
  <c r="T48" i="116"/>
  <c r="V16" i="116" a="1"/>
  <c r="W15" i="116"/>
  <c r="F58" i="116"/>
  <c r="F57" i="116"/>
  <c r="U3" i="116"/>
  <c r="V3" i="116" s="1"/>
  <c r="T76" i="116"/>
  <c r="T77" i="116"/>
  <c r="W29" i="116"/>
  <c r="T50" i="116"/>
  <c r="W16" i="116"/>
  <c r="T51" i="116"/>
  <c r="T82" i="116"/>
  <c r="T83" i="116"/>
  <c r="W32" i="116"/>
  <c r="T86" i="116"/>
  <c r="T87" i="116"/>
  <c r="W34" i="116"/>
  <c r="H111" i="115"/>
  <c r="H112" i="115"/>
  <c r="H108" i="115"/>
  <c r="H104" i="115"/>
  <c r="H100" i="115"/>
  <c r="H96" i="115"/>
  <c r="H92" i="115"/>
  <c r="H88" i="115"/>
  <c r="H84" i="115"/>
  <c r="H80" i="115"/>
  <c r="H76" i="115"/>
  <c r="H72" i="115"/>
  <c r="H68" i="115"/>
  <c r="H113" i="115"/>
  <c r="H109" i="115"/>
  <c r="H105" i="115"/>
  <c r="H101" i="115"/>
  <c r="H95" i="115"/>
  <c r="H91" i="115"/>
  <c r="H89" i="115"/>
  <c r="H85" i="115"/>
  <c r="H81" i="115"/>
  <c r="H77" i="115"/>
  <c r="H73" i="115"/>
  <c r="H69" i="115"/>
  <c r="H65" i="115"/>
  <c r="H110" i="115"/>
  <c r="H106" i="115"/>
  <c r="H102" i="115"/>
  <c r="H98" i="115"/>
  <c r="H94" i="115"/>
  <c r="H90" i="115"/>
  <c r="H86" i="115"/>
  <c r="H82" i="115"/>
  <c r="H78" i="115"/>
  <c r="H74" i="115"/>
  <c r="H70" i="115"/>
  <c r="H64" i="115"/>
  <c r="H107" i="115"/>
  <c r="H103" i="115"/>
  <c r="H99" i="115"/>
  <c r="H97" i="115"/>
  <c r="H93" i="115"/>
  <c r="H87" i="115"/>
  <c r="H83" i="115"/>
  <c r="H79" i="115"/>
  <c r="H66" i="115"/>
  <c r="R31" i="115"/>
  <c r="B32" i="115" s="1"/>
  <c r="R30" i="115"/>
  <c r="B31" i="115" s="1"/>
  <c r="B28" i="115"/>
  <c r="H75" i="115"/>
  <c r="H67" i="115"/>
  <c r="H63" i="115"/>
  <c r="C32" i="115"/>
  <c r="U10" i="115" s="1"/>
  <c r="V10" i="115" s="1"/>
  <c r="C31" i="115"/>
  <c r="U8" i="115" s="1"/>
  <c r="V8" i="115" s="1"/>
  <c r="B29" i="115"/>
  <c r="H71" i="115"/>
  <c r="B27" i="115"/>
  <c r="R29" i="115"/>
  <c r="R28" i="115"/>
  <c r="J123" i="115"/>
  <c r="J122" i="115"/>
  <c r="B13" i="115"/>
  <c r="I57" i="115"/>
  <c r="I58" i="115"/>
  <c r="U9" i="115"/>
  <c r="V9" i="115" s="1"/>
  <c r="I123" i="115"/>
  <c r="I122" i="115"/>
  <c r="H57" i="115"/>
  <c r="H58" i="115"/>
  <c r="B23" i="115"/>
  <c r="U5" i="115"/>
  <c r="V5" i="115" s="1"/>
  <c r="G58" i="115"/>
  <c r="G57" i="115"/>
  <c r="U7" i="115"/>
  <c r="V7" i="115" s="1"/>
  <c r="I58" i="113"/>
  <c r="U9" i="113"/>
  <c r="V9" i="113" s="1"/>
  <c r="I57" i="113"/>
  <c r="G57" i="113"/>
  <c r="U7" i="113"/>
  <c r="V7" i="113" s="1"/>
  <c r="G58" i="113"/>
  <c r="T63" i="113"/>
  <c r="T62" i="113"/>
  <c r="T88" i="113"/>
  <c r="T89" i="113"/>
  <c r="T80" i="113"/>
  <c r="T81" i="113"/>
  <c r="T57" i="113"/>
  <c r="T56" i="113"/>
  <c r="W19" i="113"/>
  <c r="F58" i="113"/>
  <c r="F57" i="113"/>
  <c r="U3" i="113"/>
  <c r="V3" i="113" s="1"/>
  <c r="H57" i="113"/>
  <c r="B23" i="113"/>
  <c r="H58" i="113"/>
  <c r="U5" i="113"/>
  <c r="V5" i="113" s="1"/>
  <c r="T74" i="113"/>
  <c r="T75" i="113"/>
  <c r="W26" i="113"/>
  <c r="T54" i="113"/>
  <c r="W18" i="113"/>
  <c r="T55" i="113"/>
  <c r="T68" i="113"/>
  <c r="T69" i="113"/>
  <c r="T49" i="113"/>
  <c r="T84" i="113"/>
  <c r="T85" i="113"/>
  <c r="W33" i="113"/>
  <c r="T53" i="113"/>
  <c r="T52" i="113"/>
  <c r="T61" i="113"/>
  <c r="T82" i="113"/>
  <c r="T83" i="113"/>
  <c r="W32" i="113"/>
  <c r="H111" i="113"/>
  <c r="H107" i="113"/>
  <c r="H103" i="113"/>
  <c r="H99" i="113"/>
  <c r="H97" i="113"/>
  <c r="H93" i="113"/>
  <c r="H89" i="113"/>
  <c r="H85" i="113"/>
  <c r="H81" i="113"/>
  <c r="H77" i="113"/>
  <c r="H73" i="113"/>
  <c r="H69" i="113"/>
  <c r="H113" i="113"/>
  <c r="H109" i="113"/>
  <c r="H105" i="113"/>
  <c r="H100" i="113"/>
  <c r="H98" i="113"/>
  <c r="H94" i="113"/>
  <c r="H90" i="113"/>
  <c r="H86" i="113"/>
  <c r="H82" i="113"/>
  <c r="H78" i="113"/>
  <c r="H74" i="113"/>
  <c r="H70" i="113"/>
  <c r="H65" i="113"/>
  <c r="H95" i="113"/>
  <c r="H91" i="113"/>
  <c r="H87" i="113"/>
  <c r="H83" i="113"/>
  <c r="H79" i="113"/>
  <c r="H75" i="113"/>
  <c r="H71" i="113"/>
  <c r="H64" i="113"/>
  <c r="H112" i="113"/>
  <c r="H110" i="113"/>
  <c r="H108" i="113"/>
  <c r="H106" i="113"/>
  <c r="H104" i="113"/>
  <c r="H102" i="113"/>
  <c r="H96" i="113"/>
  <c r="H92" i="113"/>
  <c r="H66" i="113"/>
  <c r="H63" i="113"/>
  <c r="B29" i="113"/>
  <c r="R28" i="113"/>
  <c r="H101" i="113"/>
  <c r="C32" i="113"/>
  <c r="U10" i="113" s="1"/>
  <c r="V10" i="113" s="1"/>
  <c r="C31" i="113"/>
  <c r="U8" i="113" s="1"/>
  <c r="V8" i="113" s="1"/>
  <c r="R29" i="113"/>
  <c r="H88" i="113"/>
  <c r="H84" i="113"/>
  <c r="H80" i="113"/>
  <c r="H76" i="113"/>
  <c r="H72" i="113"/>
  <c r="H68" i="113"/>
  <c r="H67" i="113"/>
  <c r="R31" i="113"/>
  <c r="B32" i="113" s="1"/>
  <c r="R30" i="113"/>
  <c r="B31" i="113" s="1"/>
  <c r="B28" i="113"/>
  <c r="B27" i="113"/>
  <c r="T58" i="113"/>
  <c r="W20" i="113"/>
  <c r="T59" i="113"/>
  <c r="T64" i="113"/>
  <c r="W23" i="113"/>
  <c r="T65" i="113"/>
  <c r="T76" i="113"/>
  <c r="W29" i="113"/>
  <c r="T77" i="113"/>
  <c r="H111" i="112"/>
  <c r="H107" i="112"/>
  <c r="H103" i="112"/>
  <c r="H99" i="112"/>
  <c r="H97" i="112"/>
  <c r="H93" i="112"/>
  <c r="H89" i="112"/>
  <c r="H85" i="112"/>
  <c r="H81" i="112"/>
  <c r="H77" i="112"/>
  <c r="H73" i="112"/>
  <c r="H69" i="112"/>
  <c r="H113" i="112"/>
  <c r="H109" i="112"/>
  <c r="H105" i="112"/>
  <c r="H101" i="112"/>
  <c r="H95" i="112"/>
  <c r="H110" i="112"/>
  <c r="H106" i="112"/>
  <c r="H96" i="112"/>
  <c r="H91" i="112"/>
  <c r="H87" i="112"/>
  <c r="H83" i="112"/>
  <c r="H79" i="112"/>
  <c r="H75" i="112"/>
  <c r="H71" i="112"/>
  <c r="H64" i="112"/>
  <c r="H108" i="112"/>
  <c r="H92" i="112"/>
  <c r="H88" i="112"/>
  <c r="H84" i="112"/>
  <c r="H80" i="112"/>
  <c r="H76" i="112"/>
  <c r="H72" i="112"/>
  <c r="H68" i="112"/>
  <c r="H67" i="112"/>
  <c r="H63" i="112"/>
  <c r="C32" i="112"/>
  <c r="U10" i="112" s="1"/>
  <c r="V10" i="112" s="1"/>
  <c r="H102" i="112"/>
  <c r="H100" i="112"/>
  <c r="H98" i="112"/>
  <c r="H112" i="112"/>
  <c r="H104" i="112"/>
  <c r="H94" i="112"/>
  <c r="H90" i="112"/>
  <c r="H86" i="112"/>
  <c r="H82" i="112"/>
  <c r="H78" i="112"/>
  <c r="H74" i="112"/>
  <c r="H70" i="112"/>
  <c r="H65" i="112"/>
  <c r="H66" i="112"/>
  <c r="R31" i="112"/>
  <c r="B32" i="112" s="1"/>
  <c r="R30" i="112"/>
  <c r="B31" i="112" s="1"/>
  <c r="B28" i="112"/>
  <c r="B27" i="112"/>
  <c r="B29" i="112"/>
  <c r="R28" i="112"/>
  <c r="C31" i="112"/>
  <c r="U8" i="112" s="1"/>
  <c r="V8" i="112" s="1"/>
  <c r="R29" i="112"/>
  <c r="G58" i="112"/>
  <c r="U7" i="112"/>
  <c r="V7" i="112" s="1"/>
  <c r="G57" i="112"/>
  <c r="T96" i="112"/>
  <c r="H57" i="112"/>
  <c r="H58" i="112"/>
  <c r="B23" i="112"/>
  <c r="U5" i="112"/>
  <c r="V5" i="112" s="1"/>
  <c r="T76" i="111"/>
  <c r="T77" i="111"/>
  <c r="T52" i="111"/>
  <c r="T53" i="111"/>
  <c r="T80" i="111"/>
  <c r="T81" i="111"/>
  <c r="T82" i="111"/>
  <c r="T83" i="111"/>
  <c r="W32" i="111"/>
  <c r="H111" i="111"/>
  <c r="H107" i="111"/>
  <c r="H103" i="111"/>
  <c r="H99" i="111"/>
  <c r="H97" i="111"/>
  <c r="H93" i="111"/>
  <c r="H89" i="111"/>
  <c r="H85" i="111"/>
  <c r="H81" i="111"/>
  <c r="H77" i="111"/>
  <c r="H73" i="111"/>
  <c r="H69" i="111"/>
  <c r="H113" i="111"/>
  <c r="H109" i="111"/>
  <c r="H105" i="111"/>
  <c r="H101" i="111"/>
  <c r="H95" i="111"/>
  <c r="H91" i="111"/>
  <c r="H87" i="111"/>
  <c r="H83" i="111"/>
  <c r="H79" i="111"/>
  <c r="H75" i="111"/>
  <c r="H71" i="111"/>
  <c r="H110" i="111"/>
  <c r="H106" i="111"/>
  <c r="H65" i="111"/>
  <c r="B29" i="111"/>
  <c r="R28" i="111"/>
  <c r="H108" i="111"/>
  <c r="H102" i="111"/>
  <c r="H100" i="111"/>
  <c r="H98" i="111"/>
  <c r="H94" i="111"/>
  <c r="H90" i="111"/>
  <c r="H86" i="111"/>
  <c r="H82" i="111"/>
  <c r="H78" i="111"/>
  <c r="H74" i="111"/>
  <c r="H70" i="111"/>
  <c r="H68" i="111"/>
  <c r="H64" i="111"/>
  <c r="H67" i="111"/>
  <c r="H63" i="111"/>
  <c r="C32" i="111"/>
  <c r="U10" i="111" s="1"/>
  <c r="V10" i="111" s="1"/>
  <c r="H112" i="111"/>
  <c r="H104" i="111"/>
  <c r="H96" i="111"/>
  <c r="H92" i="111"/>
  <c r="H88" i="111"/>
  <c r="H84" i="111"/>
  <c r="H80" i="111"/>
  <c r="H76" i="111"/>
  <c r="H72" i="111"/>
  <c r="C31" i="111"/>
  <c r="U8" i="111" s="1"/>
  <c r="V8" i="111" s="1"/>
  <c r="R30" i="111"/>
  <c r="B31" i="111" s="1"/>
  <c r="B27" i="111"/>
  <c r="H66" i="111"/>
  <c r="R31" i="111"/>
  <c r="B32" i="111" s="1"/>
  <c r="B28" i="111"/>
  <c r="R29" i="111"/>
  <c r="T67" i="111"/>
  <c r="T66" i="111"/>
  <c r="W24" i="111"/>
  <c r="I58" i="111"/>
  <c r="U9" i="111"/>
  <c r="V9" i="111" s="1"/>
  <c r="I57" i="111"/>
  <c r="T46" i="111"/>
  <c r="T47" i="111"/>
  <c r="W36" i="111"/>
  <c r="T94" i="111"/>
  <c r="T95" i="111"/>
  <c r="W38" i="111"/>
  <c r="T64" i="111"/>
  <c r="T65" i="111"/>
  <c r="W23" i="111"/>
  <c r="T59" i="111"/>
  <c r="W20" i="111"/>
  <c r="T92" i="111"/>
  <c r="T93" i="111"/>
  <c r="H57" i="111"/>
  <c r="B23" i="111"/>
  <c r="U5" i="111"/>
  <c r="V5" i="111" s="1"/>
  <c r="H58" i="111"/>
  <c r="T56" i="111"/>
  <c r="T57" i="111"/>
  <c r="T78" i="111"/>
  <c r="T79" i="111"/>
  <c r="T63" i="111"/>
  <c r="T62" i="111"/>
  <c r="T88" i="111"/>
  <c r="T89" i="111"/>
  <c r="T54" i="111"/>
  <c r="T55" i="111"/>
  <c r="T84" i="111"/>
  <c r="W33" i="111"/>
  <c r="T85" i="111"/>
  <c r="G58" i="111"/>
  <c r="G57" i="111"/>
  <c r="U7" i="111"/>
  <c r="V7" i="111" s="1"/>
  <c r="F58" i="111"/>
  <c r="F57" i="111"/>
  <c r="U3" i="111"/>
  <c r="V3" i="111" s="1"/>
  <c r="T48" i="111"/>
  <c r="W15" i="111"/>
  <c r="T49" i="111"/>
  <c r="T73" i="111"/>
  <c r="I122" i="110"/>
  <c r="H111" i="110"/>
  <c r="H107" i="110"/>
  <c r="H103" i="110"/>
  <c r="H99" i="110"/>
  <c r="H97" i="110"/>
  <c r="H93" i="110"/>
  <c r="H89" i="110"/>
  <c r="H85" i="110"/>
  <c r="H81" i="110"/>
  <c r="H77" i="110"/>
  <c r="H73" i="110"/>
  <c r="H69" i="110"/>
  <c r="H113" i="110"/>
  <c r="H109" i="110"/>
  <c r="H105" i="110"/>
  <c r="H110" i="110"/>
  <c r="H106" i="110"/>
  <c r="H102" i="110"/>
  <c r="H95" i="110"/>
  <c r="H91" i="110"/>
  <c r="H87" i="110"/>
  <c r="H83" i="110"/>
  <c r="H79" i="110"/>
  <c r="H75" i="110"/>
  <c r="H71" i="110"/>
  <c r="H108" i="110"/>
  <c r="H100" i="110"/>
  <c r="H96" i="110"/>
  <c r="H92" i="110"/>
  <c r="H88" i="110"/>
  <c r="H84" i="110"/>
  <c r="H80" i="110"/>
  <c r="H76" i="110"/>
  <c r="H72" i="110"/>
  <c r="H101" i="110"/>
  <c r="H112" i="110"/>
  <c r="H104" i="110"/>
  <c r="H98" i="110"/>
  <c r="H94" i="110"/>
  <c r="H90" i="110"/>
  <c r="H86" i="110"/>
  <c r="H82" i="110"/>
  <c r="H78" i="110"/>
  <c r="H74" i="110"/>
  <c r="H70" i="110"/>
  <c r="H65" i="110"/>
  <c r="H64" i="110"/>
  <c r="C31" i="110"/>
  <c r="U8" i="110" s="1"/>
  <c r="V8" i="110" s="1"/>
  <c r="R30" i="110"/>
  <c r="B31" i="110" s="1"/>
  <c r="B29" i="110"/>
  <c r="R28" i="110"/>
  <c r="H68" i="110"/>
  <c r="C32" i="110"/>
  <c r="U10" i="110" s="1"/>
  <c r="V10" i="110" s="1"/>
  <c r="R31" i="110"/>
  <c r="B32" i="110" s="1"/>
  <c r="H66" i="110"/>
  <c r="R29" i="110"/>
  <c r="H67" i="110"/>
  <c r="H63" i="110"/>
  <c r="B28" i="110"/>
  <c r="B27" i="110"/>
  <c r="U9" i="110"/>
  <c r="V9" i="110" s="1"/>
  <c r="I58" i="110"/>
  <c r="I57" i="110"/>
  <c r="G58" i="110"/>
  <c r="G57" i="110"/>
  <c r="U7" i="110"/>
  <c r="V7" i="110" s="1"/>
  <c r="U34" i="109"/>
  <c r="W35" i="109" s="1"/>
  <c r="I58" i="109"/>
  <c r="I57" i="109"/>
  <c r="U9" i="109"/>
  <c r="V9" i="109" s="1"/>
  <c r="U26" i="109"/>
  <c r="W27" i="109" s="1"/>
  <c r="U29" i="109"/>
  <c r="G58" i="109"/>
  <c r="G57" i="109"/>
  <c r="U7" i="109"/>
  <c r="V7" i="109" s="1"/>
  <c r="U39" i="109"/>
  <c r="U25" i="109"/>
  <c r="T92" i="109"/>
  <c r="W37" i="109"/>
  <c r="T93" i="109"/>
  <c r="T67" i="109"/>
  <c r="W24" i="109"/>
  <c r="T66" i="109"/>
  <c r="T52" i="109"/>
  <c r="T53" i="109"/>
  <c r="T58" i="109"/>
  <c r="U3" i="109"/>
  <c r="V3" i="109" s="1"/>
  <c r="F58" i="109"/>
  <c r="F57" i="109"/>
  <c r="W36" i="109"/>
  <c r="W30" i="109"/>
  <c r="T46" i="109"/>
  <c r="T47" i="109"/>
  <c r="H111" i="109"/>
  <c r="H107" i="109"/>
  <c r="H103" i="109"/>
  <c r="H99" i="109"/>
  <c r="H97" i="109"/>
  <c r="H93" i="109"/>
  <c r="H89" i="109"/>
  <c r="H85" i="109"/>
  <c r="H81" i="109"/>
  <c r="H77" i="109"/>
  <c r="H73" i="109"/>
  <c r="H69" i="109"/>
  <c r="H113" i="109"/>
  <c r="H109" i="109"/>
  <c r="H105" i="109"/>
  <c r="H101" i="109"/>
  <c r="H110" i="109"/>
  <c r="H106" i="109"/>
  <c r="H102" i="109"/>
  <c r="H98" i="109"/>
  <c r="H95" i="109"/>
  <c r="H91" i="109"/>
  <c r="H87" i="109"/>
  <c r="H83" i="109"/>
  <c r="H79" i="109"/>
  <c r="H75" i="109"/>
  <c r="H71" i="109"/>
  <c r="H112" i="109"/>
  <c r="H104" i="109"/>
  <c r="H96" i="109"/>
  <c r="H94" i="109"/>
  <c r="H90" i="109"/>
  <c r="H86" i="109"/>
  <c r="H82" i="109"/>
  <c r="H78" i="109"/>
  <c r="H74" i="109"/>
  <c r="H70" i="109"/>
  <c r="H65" i="109"/>
  <c r="B29" i="109"/>
  <c r="R28" i="109"/>
  <c r="H108" i="109"/>
  <c r="H100" i="109"/>
  <c r="H67" i="109"/>
  <c r="H63" i="109"/>
  <c r="H64" i="109"/>
  <c r="C31" i="109"/>
  <c r="U8" i="109" s="1"/>
  <c r="V8" i="109" s="1"/>
  <c r="R30" i="109"/>
  <c r="B31" i="109" s="1"/>
  <c r="C32" i="109"/>
  <c r="U10" i="109" s="1"/>
  <c r="V10" i="109" s="1"/>
  <c r="R31" i="109"/>
  <c r="B32" i="109" s="1"/>
  <c r="B28" i="109"/>
  <c r="B27" i="109"/>
  <c r="H92" i="109"/>
  <c r="H88" i="109"/>
  <c r="H84" i="109"/>
  <c r="H80" i="109"/>
  <c r="H76" i="109"/>
  <c r="H72" i="109"/>
  <c r="H68" i="109"/>
  <c r="H66" i="109"/>
  <c r="R29" i="109"/>
  <c r="U32" i="109"/>
  <c r="U19" i="109"/>
  <c r="J122" i="109"/>
  <c r="T51" i="109"/>
  <c r="H57" i="109"/>
  <c r="H58" i="109"/>
  <c r="U5" i="109"/>
  <c r="V5" i="109" s="1"/>
  <c r="B23" i="109"/>
  <c r="U22" i="109"/>
  <c r="U38" i="109"/>
  <c r="U28" i="109"/>
  <c r="T67" i="108"/>
  <c r="W17" i="108"/>
  <c r="T53" i="108"/>
  <c r="W36" i="108"/>
  <c r="T79" i="108"/>
  <c r="T78" i="108"/>
  <c r="G58" i="108"/>
  <c r="G57" i="108"/>
  <c r="U7" i="108"/>
  <c r="V7" i="108" s="1"/>
  <c r="W15" i="108"/>
  <c r="T80" i="108"/>
  <c r="T81" i="108"/>
  <c r="W29" i="108"/>
  <c r="T77" i="108"/>
  <c r="W18" i="108"/>
  <c r="T64" i="108"/>
  <c r="T65" i="108"/>
  <c r="W23" i="108"/>
  <c r="T47" i="108"/>
  <c r="T46" i="108"/>
  <c r="W35" i="108"/>
  <c r="T74" i="108"/>
  <c r="W28" i="108"/>
  <c r="T58" i="108"/>
  <c r="T83" i="108"/>
  <c r="T82" i="108"/>
  <c r="U9" i="108"/>
  <c r="V9" i="108" s="1"/>
  <c r="I58" i="108"/>
  <c r="I57" i="108"/>
  <c r="T51" i="108"/>
  <c r="T72" i="108"/>
  <c r="T73" i="108"/>
  <c r="H57" i="108"/>
  <c r="U5" i="108"/>
  <c r="V5" i="108" s="1"/>
  <c r="H58" i="108"/>
  <c r="B23" i="108"/>
  <c r="T86" i="108"/>
  <c r="H111" i="108"/>
  <c r="H107" i="108"/>
  <c r="H103" i="108"/>
  <c r="H99" i="108"/>
  <c r="H97" i="108"/>
  <c r="H93" i="108"/>
  <c r="H89" i="108"/>
  <c r="H85" i="108"/>
  <c r="H81" i="108"/>
  <c r="H77" i="108"/>
  <c r="H73" i="108"/>
  <c r="H69" i="108"/>
  <c r="H113" i="108"/>
  <c r="H109" i="108"/>
  <c r="H105" i="108"/>
  <c r="H101" i="108"/>
  <c r="H110" i="108"/>
  <c r="H106" i="108"/>
  <c r="H102" i="108"/>
  <c r="H100" i="108"/>
  <c r="H98" i="108"/>
  <c r="H95" i="108"/>
  <c r="H91" i="108"/>
  <c r="H87" i="108"/>
  <c r="H83" i="108"/>
  <c r="H79" i="108"/>
  <c r="H75" i="108"/>
  <c r="H71" i="108"/>
  <c r="H108" i="108"/>
  <c r="H112" i="108"/>
  <c r="H104" i="108"/>
  <c r="H94" i="108"/>
  <c r="H90" i="108"/>
  <c r="H86" i="108"/>
  <c r="H82" i="108"/>
  <c r="H78" i="108"/>
  <c r="H74" i="108"/>
  <c r="H70" i="108"/>
  <c r="H65" i="108"/>
  <c r="C32" i="108"/>
  <c r="U10" i="108" s="1"/>
  <c r="V10" i="108" s="1"/>
  <c r="R31" i="108"/>
  <c r="B32" i="108" s="1"/>
  <c r="H66" i="108"/>
  <c r="R29" i="108"/>
  <c r="H63" i="108"/>
  <c r="B28" i="108"/>
  <c r="B27" i="108"/>
  <c r="H96" i="108"/>
  <c r="H92" i="108"/>
  <c r="H88" i="108"/>
  <c r="H84" i="108"/>
  <c r="H80" i="108"/>
  <c r="H76" i="108"/>
  <c r="H72" i="108"/>
  <c r="H68" i="108"/>
  <c r="H67" i="108"/>
  <c r="H64" i="108"/>
  <c r="C31" i="108"/>
  <c r="U8" i="108" s="1"/>
  <c r="V8" i="108" s="1"/>
  <c r="R30" i="108"/>
  <c r="B31" i="108" s="1"/>
  <c r="B29" i="108"/>
  <c r="R28" i="108"/>
  <c r="T95" i="108"/>
  <c r="T94" i="108"/>
  <c r="T69" i="108"/>
  <c r="T60" i="108"/>
  <c r="T61" i="108"/>
  <c r="T70" i="108"/>
  <c r="T92" i="108"/>
  <c r="T84" i="108"/>
  <c r="T85" i="108"/>
  <c r="T62" i="108"/>
  <c r="W22" i="108"/>
  <c r="T63" i="108"/>
  <c r="T97" i="108"/>
  <c r="T57" i="108"/>
  <c r="W19" i="108"/>
  <c r="J122" i="107"/>
  <c r="F57" i="107"/>
  <c r="F58" i="107"/>
  <c r="U3" i="107"/>
  <c r="V3" i="107" s="1"/>
  <c r="H58" i="107"/>
  <c r="H57" i="107"/>
  <c r="B23" i="107"/>
  <c r="U5" i="107"/>
  <c r="V5" i="107" s="1"/>
  <c r="R29" i="107"/>
  <c r="H67" i="107"/>
  <c r="H82" i="107"/>
  <c r="H98" i="107"/>
  <c r="H106" i="107"/>
  <c r="R28" i="107"/>
  <c r="H76" i="107"/>
  <c r="H92" i="107"/>
  <c r="R31" i="107"/>
  <c r="B32" i="107" s="1"/>
  <c r="H79" i="107"/>
  <c r="H95" i="107"/>
  <c r="H113" i="107"/>
  <c r="H81" i="107"/>
  <c r="H97" i="107"/>
  <c r="H111" i="107"/>
  <c r="G58" i="107"/>
  <c r="U7" i="107"/>
  <c r="V7" i="107" s="1"/>
  <c r="G57" i="107"/>
  <c r="K70" i="107"/>
  <c r="K86" i="107"/>
  <c r="I86" i="107"/>
  <c r="J86" i="107"/>
  <c r="I100" i="107"/>
  <c r="K100" i="107"/>
  <c r="B29" i="107"/>
  <c r="K80" i="107"/>
  <c r="I96" i="107"/>
  <c r="K83" i="107"/>
  <c r="I83" i="107"/>
  <c r="K101" i="107"/>
  <c r="J69" i="107"/>
  <c r="H99" i="107"/>
  <c r="I122" i="107"/>
  <c r="T47" i="107"/>
  <c r="T46" i="107"/>
  <c r="I64" i="107"/>
  <c r="K64" i="107"/>
  <c r="K74" i="107"/>
  <c r="I74" i="107"/>
  <c r="J74" i="107"/>
  <c r="K90" i="107"/>
  <c r="I102" i="107"/>
  <c r="K110" i="107"/>
  <c r="I110" i="107"/>
  <c r="J110" i="107"/>
  <c r="K84" i="107"/>
  <c r="H71" i="107"/>
  <c r="H87" i="107"/>
  <c r="H105" i="107"/>
  <c r="H73" i="107"/>
  <c r="H89" i="107"/>
  <c r="H103" i="107"/>
  <c r="J123" i="107"/>
  <c r="H68" i="107"/>
  <c r="H63" i="107"/>
  <c r="H78" i="107"/>
  <c r="H94" i="107"/>
  <c r="H104" i="107"/>
  <c r="H112" i="107"/>
  <c r="H72" i="107"/>
  <c r="H88" i="107"/>
  <c r="R30" i="107"/>
  <c r="B31" i="107" s="1"/>
  <c r="H75" i="107"/>
  <c r="H91" i="107"/>
  <c r="H109" i="107"/>
  <c r="H77" i="107"/>
  <c r="H93" i="107"/>
  <c r="H107" i="107"/>
  <c r="G58" i="106"/>
  <c r="G57" i="106"/>
  <c r="U7" i="106"/>
  <c r="V7" i="106" s="1"/>
  <c r="T63" i="106"/>
  <c r="W22" i="106"/>
  <c r="T62" i="106"/>
  <c r="T64" i="106"/>
  <c r="T65" i="106"/>
  <c r="W23" i="106"/>
  <c r="T96" i="106"/>
  <c r="T97" i="106"/>
  <c r="W39" i="106"/>
  <c r="T76" i="106"/>
  <c r="T77" i="106"/>
  <c r="W29" i="106"/>
  <c r="T68" i="106"/>
  <c r="T69" i="106"/>
  <c r="W25" i="106"/>
  <c r="T84" i="106"/>
  <c r="T85" i="106"/>
  <c r="W33" i="106"/>
  <c r="T90" i="106"/>
  <c r="W36" i="106"/>
  <c r="T91" i="106"/>
  <c r="T67" i="106"/>
  <c r="T66" i="106"/>
  <c r="W24" i="106"/>
  <c r="T82" i="106"/>
  <c r="T83" i="106"/>
  <c r="W32" i="106"/>
  <c r="T72" i="106"/>
  <c r="T73" i="106"/>
  <c r="W27" i="106"/>
  <c r="T86" i="106"/>
  <c r="T87" i="106"/>
  <c r="W34" i="106"/>
  <c r="H58" i="106"/>
  <c r="B23" i="106"/>
  <c r="U5" i="106"/>
  <c r="V5" i="106" s="1"/>
  <c r="H57" i="106"/>
  <c r="T48" i="106"/>
  <c r="T46" i="106"/>
  <c r="T47" i="106"/>
  <c r="T70" i="106"/>
  <c r="T71" i="106"/>
  <c r="W26" i="106"/>
  <c r="T55" i="106"/>
  <c r="W18" i="106"/>
  <c r="T54" i="106"/>
  <c r="T94" i="106"/>
  <c r="T95" i="106"/>
  <c r="W38" i="106"/>
  <c r="T88" i="106"/>
  <c r="T89" i="106"/>
  <c r="W35" i="106"/>
  <c r="I57" i="106"/>
  <c r="U9" i="106"/>
  <c r="V9" i="106" s="1"/>
  <c r="I58" i="106"/>
  <c r="H111" i="106"/>
  <c r="H107" i="106"/>
  <c r="H103" i="106"/>
  <c r="H99" i="106"/>
  <c r="H97" i="106"/>
  <c r="H93" i="106"/>
  <c r="H89" i="106"/>
  <c r="H85" i="106"/>
  <c r="H81" i="106"/>
  <c r="H77" i="106"/>
  <c r="H73" i="106"/>
  <c r="H69" i="106"/>
  <c r="H113" i="106"/>
  <c r="H109" i="106"/>
  <c r="H105" i="106"/>
  <c r="H101" i="106"/>
  <c r="H95" i="106"/>
  <c r="H91" i="106"/>
  <c r="H87" i="106"/>
  <c r="H83" i="106"/>
  <c r="H79" i="106"/>
  <c r="H75" i="106"/>
  <c r="H71" i="106"/>
  <c r="H96" i="106"/>
  <c r="H92" i="106"/>
  <c r="H88" i="106"/>
  <c r="H84" i="106"/>
  <c r="H80" i="106"/>
  <c r="H76" i="106"/>
  <c r="H72" i="106"/>
  <c r="H65" i="106"/>
  <c r="H64" i="106"/>
  <c r="H112" i="106"/>
  <c r="H110" i="106"/>
  <c r="H108" i="106"/>
  <c r="H106" i="106"/>
  <c r="H104" i="106"/>
  <c r="H102" i="106"/>
  <c r="H100" i="106"/>
  <c r="H98" i="106"/>
  <c r="H94" i="106"/>
  <c r="H90" i="106"/>
  <c r="H86" i="106"/>
  <c r="H82" i="106"/>
  <c r="H78" i="106"/>
  <c r="H74" i="106"/>
  <c r="H70" i="106"/>
  <c r="H68" i="106"/>
  <c r="H67" i="106"/>
  <c r="H66" i="106"/>
  <c r="R31" i="106"/>
  <c r="B32" i="106" s="1"/>
  <c r="R30" i="106"/>
  <c r="B31" i="106" s="1"/>
  <c r="B28" i="106"/>
  <c r="B27" i="106"/>
  <c r="B29" i="106"/>
  <c r="C31" i="106"/>
  <c r="U8" i="106" s="1"/>
  <c r="V8" i="106" s="1"/>
  <c r="H63" i="106"/>
  <c r="R29" i="106"/>
  <c r="C32" i="106"/>
  <c r="U10" i="106" s="1"/>
  <c r="V10" i="106" s="1"/>
  <c r="R28" i="106"/>
  <c r="T58" i="106"/>
  <c r="T53" i="106"/>
  <c r="T52" i="106"/>
  <c r="W17" i="106"/>
  <c r="T80" i="106"/>
  <c r="T81" i="106"/>
  <c r="T60" i="106"/>
  <c r="T61" i="106"/>
  <c r="T74" i="106"/>
  <c r="T75" i="106"/>
  <c r="W28" i="106"/>
  <c r="T92" i="106"/>
  <c r="T93" i="106"/>
  <c r="W37" i="106"/>
  <c r="T60" i="105"/>
  <c r="T61" i="105"/>
  <c r="W21" i="105"/>
  <c r="T68" i="105"/>
  <c r="T69" i="105"/>
  <c r="W25" i="105"/>
  <c r="T58" i="105"/>
  <c r="W20" i="105"/>
  <c r="T59" i="105"/>
  <c r="T47" i="105"/>
  <c r="T46" i="105"/>
  <c r="T71" i="105"/>
  <c r="T70" i="105"/>
  <c r="W26" i="105"/>
  <c r="T94" i="105"/>
  <c r="T95" i="105"/>
  <c r="W38" i="105"/>
  <c r="H57" i="105"/>
  <c r="U5" i="105"/>
  <c r="V5" i="105" s="1"/>
  <c r="H58" i="105"/>
  <c r="B23" i="105"/>
  <c r="I58" i="105"/>
  <c r="I57" i="105"/>
  <c r="U9" i="105"/>
  <c r="V9" i="105" s="1"/>
  <c r="T76" i="105"/>
  <c r="T77" i="105"/>
  <c r="W29" i="105"/>
  <c r="W32" i="105"/>
  <c r="T83" i="105"/>
  <c r="T82" i="105"/>
  <c r="T62" i="105"/>
  <c r="T63" i="105"/>
  <c r="W22" i="105"/>
  <c r="T52" i="105"/>
  <c r="T53" i="105"/>
  <c r="W17" i="105"/>
  <c r="T72" i="105"/>
  <c r="T73" i="105"/>
  <c r="W27" i="105"/>
  <c r="W30" i="105"/>
  <c r="T79" i="105"/>
  <c r="T78" i="105"/>
  <c r="H111" i="105"/>
  <c r="H107" i="105"/>
  <c r="H103" i="105"/>
  <c r="H99" i="105"/>
  <c r="H97" i="105"/>
  <c r="H93" i="105"/>
  <c r="H89" i="105"/>
  <c r="H85" i="105"/>
  <c r="H81" i="105"/>
  <c r="H77" i="105"/>
  <c r="H73" i="105"/>
  <c r="H69" i="105"/>
  <c r="H110" i="105"/>
  <c r="H106" i="105"/>
  <c r="H102" i="105"/>
  <c r="H98" i="105"/>
  <c r="H94" i="105"/>
  <c r="H96" i="105"/>
  <c r="H112" i="105"/>
  <c r="H108" i="105"/>
  <c r="H113" i="105"/>
  <c r="H109" i="105"/>
  <c r="H105" i="105"/>
  <c r="H101" i="105"/>
  <c r="H92" i="105"/>
  <c r="H88" i="105"/>
  <c r="H84" i="105"/>
  <c r="H80" i="105"/>
  <c r="H76" i="105"/>
  <c r="H72" i="105"/>
  <c r="H68" i="105"/>
  <c r="H67" i="105"/>
  <c r="H63" i="105"/>
  <c r="C32" i="105"/>
  <c r="U10" i="105" s="1"/>
  <c r="V10" i="105" s="1"/>
  <c r="C31" i="105"/>
  <c r="U8" i="105" s="1"/>
  <c r="V8" i="105" s="1"/>
  <c r="R29" i="105"/>
  <c r="H90" i="105"/>
  <c r="H86" i="105"/>
  <c r="H82" i="105"/>
  <c r="H78" i="105"/>
  <c r="H74" i="105"/>
  <c r="H70" i="105"/>
  <c r="H64" i="105"/>
  <c r="R30" i="105"/>
  <c r="B31" i="105" s="1"/>
  <c r="B28" i="105"/>
  <c r="B27" i="105"/>
  <c r="H95" i="105"/>
  <c r="H91" i="105"/>
  <c r="H87" i="105"/>
  <c r="H83" i="105"/>
  <c r="H79" i="105"/>
  <c r="H75" i="105"/>
  <c r="H71" i="105"/>
  <c r="H65" i="105"/>
  <c r="B29" i="105"/>
  <c r="R28" i="105"/>
  <c r="H104" i="105"/>
  <c r="H100" i="105"/>
  <c r="H66" i="105"/>
  <c r="R31" i="105"/>
  <c r="B32" i="105" s="1"/>
  <c r="T50" i="105"/>
  <c r="W16" i="105"/>
  <c r="T51" i="105"/>
  <c r="W34" i="105"/>
  <c r="T87" i="105"/>
  <c r="T86" i="105"/>
  <c r="T84" i="105"/>
  <c r="T85" i="105"/>
  <c r="W33" i="105"/>
  <c r="W28" i="105"/>
  <c r="T75" i="105"/>
  <c r="T74" i="105"/>
  <c r="T64" i="105"/>
  <c r="T65" i="105"/>
  <c r="W23" i="105"/>
  <c r="T88" i="105"/>
  <c r="T89" i="105"/>
  <c r="W35" i="105"/>
  <c r="T80" i="105"/>
  <c r="T81" i="105"/>
  <c r="W31" i="105"/>
  <c r="G57" i="105"/>
  <c r="G58" i="105"/>
  <c r="U7" i="105"/>
  <c r="V7" i="105" s="1"/>
  <c r="T54" i="105"/>
  <c r="T55" i="105"/>
  <c r="W18" i="105"/>
  <c r="T57" i="105"/>
  <c r="W19" i="105"/>
  <c r="T56" i="105"/>
  <c r="T49" i="105"/>
  <c r="V15" i="105"/>
  <c r="X15" i="105" s="1"/>
  <c r="V16" i="105" a="1"/>
  <c r="T48" i="105"/>
  <c r="W15" i="105"/>
  <c r="T96" i="105"/>
  <c r="T97" i="105"/>
  <c r="W39" i="105"/>
  <c r="T66" i="105"/>
  <c r="T67" i="105"/>
  <c r="W24" i="105"/>
  <c r="T92" i="105"/>
  <c r="T93" i="105"/>
  <c r="W37" i="105"/>
  <c r="W36" i="105"/>
  <c r="T91" i="105"/>
  <c r="T90" i="105"/>
  <c r="H111" i="104"/>
  <c r="H107" i="104"/>
  <c r="H103" i="104"/>
  <c r="H99" i="104"/>
  <c r="H97" i="104"/>
  <c r="H93" i="104"/>
  <c r="H89" i="104"/>
  <c r="H85" i="104"/>
  <c r="H81" i="104"/>
  <c r="H77" i="104"/>
  <c r="H73" i="104"/>
  <c r="H69" i="104"/>
  <c r="H113" i="104"/>
  <c r="H110" i="104"/>
  <c r="H106" i="104"/>
  <c r="H102" i="104"/>
  <c r="H108" i="104"/>
  <c r="H104" i="104"/>
  <c r="H100" i="104"/>
  <c r="H96" i="104"/>
  <c r="H92" i="104"/>
  <c r="H88" i="104"/>
  <c r="H84" i="104"/>
  <c r="H80" i="104"/>
  <c r="H76" i="104"/>
  <c r="H72" i="104"/>
  <c r="H68" i="104"/>
  <c r="H109" i="104"/>
  <c r="H105" i="104"/>
  <c r="H101" i="104"/>
  <c r="H98" i="104"/>
  <c r="H94" i="104"/>
  <c r="H90" i="104"/>
  <c r="H86" i="104"/>
  <c r="H82" i="104"/>
  <c r="H112" i="104"/>
  <c r="H95" i="104"/>
  <c r="H91" i="104"/>
  <c r="H87" i="104"/>
  <c r="H83" i="104"/>
  <c r="H79" i="104"/>
  <c r="H75" i="104"/>
  <c r="H71" i="104"/>
  <c r="H64" i="104"/>
  <c r="C32" i="104"/>
  <c r="U10" i="104" s="1"/>
  <c r="V10" i="104" s="1"/>
  <c r="C31" i="104"/>
  <c r="U8" i="104" s="1"/>
  <c r="V8" i="104" s="1"/>
  <c r="H66" i="104"/>
  <c r="R30" i="104"/>
  <c r="B31" i="104" s="1"/>
  <c r="B28" i="104"/>
  <c r="B27" i="104"/>
  <c r="H74" i="104"/>
  <c r="H67" i="104"/>
  <c r="H63" i="104"/>
  <c r="R31" i="104"/>
  <c r="B32" i="104" s="1"/>
  <c r="B29" i="104"/>
  <c r="R28" i="104"/>
  <c r="H78" i="104"/>
  <c r="H70" i="104"/>
  <c r="H65" i="104"/>
  <c r="R29" i="104"/>
  <c r="F58" i="104"/>
  <c r="U3" i="104"/>
  <c r="V3" i="104" s="1"/>
  <c r="F57" i="104"/>
  <c r="I57" i="104"/>
  <c r="I58" i="104"/>
  <c r="U9" i="104"/>
  <c r="V9" i="104" s="1"/>
  <c r="G57" i="104"/>
  <c r="U7" i="104"/>
  <c r="V7" i="104" s="1"/>
  <c r="G58" i="104"/>
  <c r="T67" i="102"/>
  <c r="T66" i="102"/>
  <c r="T58" i="102"/>
  <c r="W20" i="102"/>
  <c r="T59" i="102"/>
  <c r="T69" i="102"/>
  <c r="T88" i="102"/>
  <c r="T89" i="102"/>
  <c r="H111" i="102"/>
  <c r="H107" i="102"/>
  <c r="H103" i="102"/>
  <c r="H99" i="102"/>
  <c r="H97" i="102"/>
  <c r="H93" i="102"/>
  <c r="H89" i="102"/>
  <c r="H113" i="102"/>
  <c r="H109" i="102"/>
  <c r="H105" i="102"/>
  <c r="H101" i="102"/>
  <c r="H95" i="102"/>
  <c r="H91" i="102"/>
  <c r="H87" i="102"/>
  <c r="H83" i="102"/>
  <c r="H79" i="102"/>
  <c r="H75" i="102"/>
  <c r="H71" i="102"/>
  <c r="H96" i="102"/>
  <c r="H92" i="102"/>
  <c r="H88" i="102"/>
  <c r="H84" i="102"/>
  <c r="H80" i="102"/>
  <c r="H76" i="102"/>
  <c r="H72" i="102"/>
  <c r="H65" i="102"/>
  <c r="B29" i="102"/>
  <c r="R28" i="102"/>
  <c r="H85" i="102"/>
  <c r="H81" i="102"/>
  <c r="H77" i="102"/>
  <c r="H73" i="102"/>
  <c r="H69" i="102"/>
  <c r="H68" i="102"/>
  <c r="H64" i="102"/>
  <c r="H112" i="102"/>
  <c r="H110" i="102"/>
  <c r="H108" i="102"/>
  <c r="H106" i="102"/>
  <c r="H104" i="102"/>
  <c r="H102" i="102"/>
  <c r="H100" i="102"/>
  <c r="H98" i="102"/>
  <c r="H94" i="102"/>
  <c r="H90" i="102"/>
  <c r="H86" i="102"/>
  <c r="H82" i="102"/>
  <c r="H66" i="102"/>
  <c r="H74" i="102"/>
  <c r="C31" i="102"/>
  <c r="U8" i="102" s="1"/>
  <c r="V8" i="102" s="1"/>
  <c r="R30" i="102"/>
  <c r="B31" i="102" s="1"/>
  <c r="B27" i="102"/>
  <c r="H67" i="102"/>
  <c r="R31" i="102"/>
  <c r="B32" i="102" s="1"/>
  <c r="B28" i="102"/>
  <c r="H78" i="102"/>
  <c r="H70" i="102"/>
  <c r="H63" i="102"/>
  <c r="C32" i="102"/>
  <c r="U10" i="102" s="1"/>
  <c r="V10" i="102" s="1"/>
  <c r="R29" i="102"/>
  <c r="T90" i="102"/>
  <c r="W36" i="102"/>
  <c r="T91" i="102"/>
  <c r="T60" i="102"/>
  <c r="W21" i="102"/>
  <c r="T61" i="102"/>
  <c r="T85" i="102"/>
  <c r="T54" i="102"/>
  <c r="T48" i="102"/>
  <c r="T49" i="102"/>
  <c r="W15" i="102"/>
  <c r="T82" i="102"/>
  <c r="T83" i="102"/>
  <c r="T80" i="102"/>
  <c r="T81" i="102"/>
  <c r="T76" i="102"/>
  <c r="W29" i="102"/>
  <c r="T77" i="102"/>
  <c r="T52" i="102"/>
  <c r="T53" i="102"/>
  <c r="F58" i="102"/>
  <c r="F57" i="102"/>
  <c r="U3" i="102"/>
  <c r="V3" i="102" s="1"/>
  <c r="W37" i="102"/>
  <c r="T95" i="102"/>
  <c r="T74" i="102"/>
  <c r="T75" i="102"/>
  <c r="T78" i="102"/>
  <c r="T79" i="102"/>
  <c r="W30" i="102"/>
  <c r="W22" i="102"/>
  <c r="T51" i="102"/>
  <c r="W16" i="102"/>
  <c r="I57" i="102"/>
  <c r="I58" i="102"/>
  <c r="U9" i="102"/>
  <c r="V9" i="102" s="1"/>
  <c r="T56" i="102"/>
  <c r="T57" i="102"/>
  <c r="W19" i="102"/>
  <c r="T96" i="102"/>
  <c r="T97" i="102"/>
  <c r="T72" i="102"/>
  <c r="T73" i="102"/>
  <c r="T86" i="102"/>
  <c r="T87" i="102"/>
  <c r="J122" i="101"/>
  <c r="I57" i="101"/>
  <c r="I58" i="101"/>
  <c r="U9" i="101"/>
  <c r="V9" i="101" s="1"/>
  <c r="R31" i="101"/>
  <c r="B32" i="101" s="1"/>
  <c r="H74" i="101"/>
  <c r="R28" i="101"/>
  <c r="H70" i="101"/>
  <c r="H86" i="101"/>
  <c r="H104" i="101"/>
  <c r="H90" i="101"/>
  <c r="H112" i="101"/>
  <c r="H69" i="101"/>
  <c r="H99" i="101"/>
  <c r="H66" i="101"/>
  <c r="H75" i="101"/>
  <c r="H91" i="101"/>
  <c r="H109" i="101"/>
  <c r="U33" i="101"/>
  <c r="U15" i="101"/>
  <c r="U38" i="101"/>
  <c r="W39" i="101" s="1"/>
  <c r="U17" i="101"/>
  <c r="U37" i="101"/>
  <c r="U27" i="101"/>
  <c r="W28" i="101" s="1"/>
  <c r="H76" i="101"/>
  <c r="H64" i="101"/>
  <c r="H89" i="101"/>
  <c r="H63" i="101"/>
  <c r="H72" i="101"/>
  <c r="H88" i="101"/>
  <c r="H110" i="101"/>
  <c r="H92" i="101"/>
  <c r="R29" i="101"/>
  <c r="H77" i="101"/>
  <c r="H100" i="101"/>
  <c r="H103" i="101"/>
  <c r="H79" i="101"/>
  <c r="H95" i="101"/>
  <c r="H113" i="101"/>
  <c r="T88" i="101"/>
  <c r="W35" i="101"/>
  <c r="T89" i="101"/>
  <c r="T51" i="101"/>
  <c r="T62" i="101"/>
  <c r="U23" i="101"/>
  <c r="U30" i="101"/>
  <c r="W31" i="101" s="1"/>
  <c r="H81" i="101"/>
  <c r="H68" i="101"/>
  <c r="H97" i="101"/>
  <c r="H67" i="101"/>
  <c r="H78" i="101"/>
  <c r="H94" i="101"/>
  <c r="H82" i="101"/>
  <c r="H98" i="101"/>
  <c r="C31" i="101"/>
  <c r="U8" i="101" s="1"/>
  <c r="V8" i="101" s="1"/>
  <c r="H85" i="101"/>
  <c r="H107" i="101"/>
  <c r="H111" i="101"/>
  <c r="H83" i="101"/>
  <c r="H101" i="101"/>
  <c r="T57" i="101"/>
  <c r="T56" i="101"/>
  <c r="T96" i="101"/>
  <c r="T97" i="101"/>
  <c r="T69" i="101"/>
  <c r="T74" i="101"/>
  <c r="T75" i="101"/>
  <c r="T86" i="101"/>
  <c r="T87" i="101"/>
  <c r="T80" i="101"/>
  <c r="T81" i="101"/>
  <c r="F58" i="101"/>
  <c r="F57" i="101"/>
  <c r="U3" i="101"/>
  <c r="V3" i="101" s="1"/>
  <c r="H58" i="101"/>
  <c r="U5" i="101"/>
  <c r="V5" i="101" s="1"/>
  <c r="B23" i="101"/>
  <c r="H57" i="101"/>
  <c r="B28" i="101"/>
  <c r="R30" i="101"/>
  <c r="B31" i="101" s="1"/>
  <c r="H73" i="101"/>
  <c r="H102" i="101"/>
  <c r="H65" i="101"/>
  <c r="H80" i="101"/>
  <c r="H96" i="101"/>
  <c r="H84" i="101"/>
  <c r="H106" i="101"/>
  <c r="C32" i="101"/>
  <c r="U10" i="101" s="1"/>
  <c r="V10" i="101" s="1"/>
  <c r="H93" i="101"/>
  <c r="H108" i="101"/>
  <c r="H71" i="101"/>
  <c r="H87" i="101"/>
  <c r="H105" i="101"/>
  <c r="U20" i="101"/>
  <c r="W21" i="101" s="1"/>
  <c r="U18" i="101"/>
  <c r="W19" i="101" s="1"/>
  <c r="U32" i="101"/>
  <c r="T47" i="101"/>
  <c r="T46" i="101"/>
  <c r="U29" i="101"/>
  <c r="U26" i="101"/>
  <c r="U36" i="101"/>
  <c r="T72" i="100"/>
  <c r="T73" i="100"/>
  <c r="W27" i="100"/>
  <c r="F57" i="100"/>
  <c r="U3" i="100"/>
  <c r="V3" i="100" s="1"/>
  <c r="F58" i="100"/>
  <c r="T89" i="100"/>
  <c r="W35" i="100"/>
  <c r="T94" i="100"/>
  <c r="T95" i="100"/>
  <c r="W38" i="100"/>
  <c r="T80" i="100"/>
  <c r="T81" i="100"/>
  <c r="W31" i="100"/>
  <c r="T67" i="100"/>
  <c r="T66" i="100"/>
  <c r="W24" i="100"/>
  <c r="G58" i="100"/>
  <c r="G57" i="100"/>
  <c r="U7" i="100"/>
  <c r="V7" i="100" s="1"/>
  <c r="C32" i="100"/>
  <c r="U10" i="100" s="1"/>
  <c r="V10" i="100" s="1"/>
  <c r="R31" i="100"/>
  <c r="B32" i="100" s="1"/>
  <c r="H100" i="100"/>
  <c r="H76" i="100"/>
  <c r="H92" i="100"/>
  <c r="H79" i="100"/>
  <c r="H96" i="100"/>
  <c r="H65" i="100"/>
  <c r="H82" i="100"/>
  <c r="H106" i="100"/>
  <c r="H105" i="100"/>
  <c r="H73" i="100"/>
  <c r="H89" i="100"/>
  <c r="H103" i="100"/>
  <c r="W18" i="100"/>
  <c r="T55" i="100"/>
  <c r="T54" i="100"/>
  <c r="T64" i="100"/>
  <c r="T65" i="100"/>
  <c r="W23" i="100"/>
  <c r="T48" i="100"/>
  <c r="T49" i="100"/>
  <c r="V16" i="100" a="1"/>
  <c r="W15" i="100"/>
  <c r="T56" i="100"/>
  <c r="T57" i="100"/>
  <c r="W19" i="100"/>
  <c r="T96" i="100"/>
  <c r="T97" i="100"/>
  <c r="W39" i="100"/>
  <c r="T60" i="100"/>
  <c r="W21" i="100"/>
  <c r="T61" i="100"/>
  <c r="T75" i="100"/>
  <c r="T52" i="100"/>
  <c r="T53" i="100"/>
  <c r="W17" i="100"/>
  <c r="H63" i="100"/>
  <c r="H68" i="100"/>
  <c r="H66" i="100"/>
  <c r="H104" i="100"/>
  <c r="H80" i="100"/>
  <c r="H64" i="100"/>
  <c r="H83" i="100"/>
  <c r="H108" i="100"/>
  <c r="H70" i="100"/>
  <c r="H86" i="100"/>
  <c r="H110" i="100"/>
  <c r="H109" i="100"/>
  <c r="H77" i="100"/>
  <c r="H93" i="100"/>
  <c r="H107" i="100"/>
  <c r="T59" i="100"/>
  <c r="W20" i="100"/>
  <c r="T58" i="100"/>
  <c r="T63" i="100"/>
  <c r="T62" i="100"/>
  <c r="W22" i="100"/>
  <c r="T84" i="100"/>
  <c r="T85" i="100"/>
  <c r="T68" i="100"/>
  <c r="T69" i="100"/>
  <c r="W25" i="100"/>
  <c r="T47" i="100"/>
  <c r="T46" i="100"/>
  <c r="H67" i="100"/>
  <c r="C31" i="100"/>
  <c r="U8" i="100" s="1"/>
  <c r="V8" i="100" s="1"/>
  <c r="H94" i="100"/>
  <c r="H112" i="100"/>
  <c r="H84" i="100"/>
  <c r="H71" i="100"/>
  <c r="H87" i="100"/>
  <c r="R28" i="100"/>
  <c r="H74" i="100"/>
  <c r="H90" i="100"/>
  <c r="H95" i="100"/>
  <c r="H113" i="100"/>
  <c r="H81" i="100"/>
  <c r="H97" i="100"/>
  <c r="H111" i="100"/>
  <c r="T76" i="100"/>
  <c r="T77" i="100"/>
  <c r="T86" i="100"/>
  <c r="T87" i="100"/>
  <c r="W34" i="100"/>
  <c r="T82" i="100"/>
  <c r="T93" i="100"/>
  <c r="T70" i="100"/>
  <c r="T71" i="100"/>
  <c r="W26" i="100"/>
  <c r="R29" i="100"/>
  <c r="B28" i="100"/>
  <c r="R30" i="100"/>
  <c r="B31" i="100" s="1"/>
  <c r="H98" i="100"/>
  <c r="H72" i="100"/>
  <c r="H88" i="100"/>
  <c r="H75" i="100"/>
  <c r="H91" i="100"/>
  <c r="H78" i="100"/>
  <c r="H102" i="100"/>
  <c r="H101" i="100"/>
  <c r="H69" i="100"/>
  <c r="H85" i="100"/>
  <c r="H99" i="100"/>
  <c r="T51" i="100"/>
  <c r="T50" i="100"/>
  <c r="W16" i="100"/>
  <c r="T78" i="100"/>
  <c r="T79" i="100"/>
  <c r="W30" i="100"/>
  <c r="H111" i="99"/>
  <c r="H107" i="99"/>
  <c r="H103" i="99"/>
  <c r="H99" i="99"/>
  <c r="H97" i="99"/>
  <c r="H93" i="99"/>
  <c r="H89" i="99"/>
  <c r="H85" i="99"/>
  <c r="H81" i="99"/>
  <c r="H77" i="99"/>
  <c r="H73" i="99"/>
  <c r="H69" i="99"/>
  <c r="H113" i="99"/>
  <c r="H109" i="99"/>
  <c r="H105" i="99"/>
  <c r="H101" i="99"/>
  <c r="H110" i="99"/>
  <c r="H106" i="99"/>
  <c r="H102" i="99"/>
  <c r="H98" i="99"/>
  <c r="H94" i="99"/>
  <c r="H96" i="99"/>
  <c r="H91" i="99"/>
  <c r="H87" i="99"/>
  <c r="H83" i="99"/>
  <c r="H79" i="99"/>
  <c r="H75" i="99"/>
  <c r="H71" i="99"/>
  <c r="H108" i="99"/>
  <c r="H100" i="99"/>
  <c r="H95" i="99"/>
  <c r="H92" i="99"/>
  <c r="H88" i="99"/>
  <c r="H84" i="99"/>
  <c r="H80" i="99"/>
  <c r="H76" i="99"/>
  <c r="H72" i="99"/>
  <c r="H68" i="99"/>
  <c r="H67" i="99"/>
  <c r="H63" i="99"/>
  <c r="C32" i="99"/>
  <c r="U10" i="99" s="1"/>
  <c r="V10" i="99" s="1"/>
  <c r="C31" i="99"/>
  <c r="U8" i="99" s="1"/>
  <c r="V8" i="99" s="1"/>
  <c r="R29" i="99"/>
  <c r="H112" i="99"/>
  <c r="H104" i="99"/>
  <c r="H90" i="99"/>
  <c r="H86" i="99"/>
  <c r="H82" i="99"/>
  <c r="H78" i="99"/>
  <c r="H74" i="99"/>
  <c r="H70" i="99"/>
  <c r="H65" i="99"/>
  <c r="B29" i="99"/>
  <c r="R28" i="99"/>
  <c r="H64" i="99"/>
  <c r="H66" i="99"/>
  <c r="R31" i="99"/>
  <c r="B32" i="99" s="1"/>
  <c r="B28" i="99"/>
  <c r="B27" i="99"/>
  <c r="R30" i="99"/>
  <c r="B31" i="99" s="1"/>
  <c r="F57" i="99"/>
  <c r="F58" i="99"/>
  <c r="U3" i="99"/>
  <c r="V3" i="99" s="1"/>
  <c r="G58" i="99"/>
  <c r="G57" i="99"/>
  <c r="U7" i="99"/>
  <c r="V7" i="99" s="1"/>
  <c r="B29" i="98"/>
  <c r="B13" i="98"/>
  <c r="I123" i="98"/>
  <c r="B28" i="98"/>
  <c r="R31" i="98"/>
  <c r="B32" i="98" s="1"/>
  <c r="H76" i="98"/>
  <c r="H92" i="98"/>
  <c r="C32" i="98"/>
  <c r="U10" i="98" s="1"/>
  <c r="V10" i="98" s="1"/>
  <c r="H70" i="98"/>
  <c r="H86" i="98"/>
  <c r="H100" i="98"/>
  <c r="H108" i="98"/>
  <c r="H75" i="98"/>
  <c r="H91" i="98"/>
  <c r="H109" i="98"/>
  <c r="H77" i="98"/>
  <c r="H93" i="98"/>
  <c r="H107" i="98"/>
  <c r="U15" i="98"/>
  <c r="U34" i="98"/>
  <c r="U5" i="98"/>
  <c r="V5" i="98" s="1"/>
  <c r="B23" i="98"/>
  <c r="H58" i="98"/>
  <c r="H57" i="98"/>
  <c r="R28" i="98"/>
  <c r="H80" i="98"/>
  <c r="H96" i="98"/>
  <c r="H63" i="98"/>
  <c r="H74" i="98"/>
  <c r="H90" i="98"/>
  <c r="H102" i="98"/>
  <c r="H110" i="98"/>
  <c r="H79" i="98"/>
  <c r="H95" i="98"/>
  <c r="H113" i="98"/>
  <c r="H81" i="98"/>
  <c r="H97" i="98"/>
  <c r="H111" i="98"/>
  <c r="U33" i="98"/>
  <c r="H66" i="98"/>
  <c r="H64" i="98"/>
  <c r="H84" i="98"/>
  <c r="R29" i="98"/>
  <c r="H67" i="98"/>
  <c r="H78" i="98"/>
  <c r="H94" i="98"/>
  <c r="H104" i="98"/>
  <c r="H112" i="98"/>
  <c r="H83" i="98"/>
  <c r="H101" i="98"/>
  <c r="H69" i="98"/>
  <c r="H85" i="98"/>
  <c r="H99" i="98"/>
  <c r="U37" i="98"/>
  <c r="F57" i="98"/>
  <c r="F58" i="98"/>
  <c r="U3" i="98"/>
  <c r="V3" i="98" s="1"/>
  <c r="H65" i="98"/>
  <c r="R30" i="98"/>
  <c r="B31" i="98" s="1"/>
  <c r="H72" i="98"/>
  <c r="H88" i="98"/>
  <c r="C31" i="98"/>
  <c r="U8" i="98" s="1"/>
  <c r="V8" i="98" s="1"/>
  <c r="H68" i="98"/>
  <c r="H82" i="98"/>
  <c r="H98" i="98"/>
  <c r="H106" i="98"/>
  <c r="H71" i="98"/>
  <c r="H87" i="98"/>
  <c r="H105" i="98"/>
  <c r="H73" i="98"/>
  <c r="H89" i="98"/>
  <c r="H103" i="98"/>
  <c r="U21" i="98"/>
  <c r="U26" i="98"/>
  <c r="B38" i="97"/>
  <c r="X14" i="97" s="1"/>
  <c r="B23" i="97"/>
  <c r="H58" i="97"/>
  <c r="H57" i="97"/>
  <c r="U5" i="97"/>
  <c r="V5" i="97" s="1"/>
  <c r="U18" i="97"/>
  <c r="U25" i="97"/>
  <c r="U34" i="97"/>
  <c r="U14" i="97"/>
  <c r="U35" i="97"/>
  <c r="G57" i="97"/>
  <c r="U7" i="97"/>
  <c r="V7" i="97" s="1"/>
  <c r="G58" i="97"/>
  <c r="I58" i="97"/>
  <c r="I57" i="97"/>
  <c r="U9" i="97"/>
  <c r="V9" i="97" s="1"/>
  <c r="J123" i="97"/>
  <c r="F58" i="97"/>
  <c r="F57" i="97"/>
  <c r="U3" i="97"/>
  <c r="V3" i="97" s="1"/>
  <c r="H111" i="97"/>
  <c r="H107" i="97"/>
  <c r="H103" i="97"/>
  <c r="H99" i="97"/>
  <c r="H97" i="97"/>
  <c r="H93" i="97"/>
  <c r="H89" i="97"/>
  <c r="H85" i="97"/>
  <c r="H81" i="97"/>
  <c r="H77" i="97"/>
  <c r="H73" i="97"/>
  <c r="H69" i="97"/>
  <c r="H113" i="97"/>
  <c r="H109" i="97"/>
  <c r="H105" i="97"/>
  <c r="H95" i="97"/>
  <c r="H91" i="97"/>
  <c r="H87" i="97"/>
  <c r="H83" i="97"/>
  <c r="H79" i="97"/>
  <c r="H75" i="97"/>
  <c r="H71" i="97"/>
  <c r="H64" i="97"/>
  <c r="H102" i="97"/>
  <c r="H96" i="97"/>
  <c r="H92" i="97"/>
  <c r="H88" i="97"/>
  <c r="H84" i="97"/>
  <c r="H80" i="97"/>
  <c r="H76" i="97"/>
  <c r="H72" i="97"/>
  <c r="H68" i="97"/>
  <c r="H67" i="97"/>
  <c r="H63" i="97"/>
  <c r="H112" i="97"/>
  <c r="H110" i="97"/>
  <c r="H108" i="97"/>
  <c r="H106" i="97"/>
  <c r="H104" i="97"/>
  <c r="H101" i="97"/>
  <c r="H98" i="97"/>
  <c r="H90" i="97"/>
  <c r="B29" i="97"/>
  <c r="B27" i="97"/>
  <c r="C31" i="97"/>
  <c r="U8" i="97" s="1"/>
  <c r="V8" i="97" s="1"/>
  <c r="R30" i="97"/>
  <c r="B31" i="97" s="1"/>
  <c r="H94" i="97"/>
  <c r="H86" i="97"/>
  <c r="H82" i="97"/>
  <c r="H78" i="97"/>
  <c r="H74" i="97"/>
  <c r="H70" i="97"/>
  <c r="H66" i="97"/>
  <c r="R29" i="97"/>
  <c r="B28" i="97"/>
  <c r="H100" i="97"/>
  <c r="H65" i="97"/>
  <c r="C32" i="97"/>
  <c r="U10" i="97" s="1"/>
  <c r="V10" i="97" s="1"/>
  <c r="R31" i="97"/>
  <c r="B32" i="97" s="1"/>
  <c r="R28" i="97"/>
  <c r="I123" i="96"/>
  <c r="F58" i="96"/>
  <c r="U3" i="96"/>
  <c r="V3" i="96" s="1"/>
  <c r="F57" i="96"/>
  <c r="T95" i="96"/>
  <c r="T46" i="96"/>
  <c r="T47" i="96"/>
  <c r="T61" i="96"/>
  <c r="W28" i="96"/>
  <c r="W22" i="96"/>
  <c r="T62" i="96"/>
  <c r="T73" i="96"/>
  <c r="W27" i="96"/>
  <c r="T72" i="96"/>
  <c r="B28" i="96"/>
  <c r="H74" i="96"/>
  <c r="R31" i="96"/>
  <c r="B32" i="96" s="1"/>
  <c r="H86" i="96"/>
  <c r="H100" i="96"/>
  <c r="H108" i="96"/>
  <c r="C31" i="96"/>
  <c r="U8" i="96" s="1"/>
  <c r="V8" i="96" s="1"/>
  <c r="H69" i="96"/>
  <c r="H84" i="96"/>
  <c r="H71" i="96"/>
  <c r="H87" i="96"/>
  <c r="H105" i="96"/>
  <c r="H85" i="96"/>
  <c r="H99" i="96"/>
  <c r="I57" i="96"/>
  <c r="I58" i="96"/>
  <c r="U9" i="96"/>
  <c r="V9" i="96" s="1"/>
  <c r="G57" i="96"/>
  <c r="G58" i="96"/>
  <c r="U7" i="96"/>
  <c r="V7" i="96" s="1"/>
  <c r="T96" i="96"/>
  <c r="T53" i="96"/>
  <c r="W17" i="96"/>
  <c r="T52" i="96"/>
  <c r="T68" i="96"/>
  <c r="W23" i="96"/>
  <c r="T64" i="96"/>
  <c r="T78" i="96"/>
  <c r="T79" i="96"/>
  <c r="J58" i="96"/>
  <c r="J57" i="96"/>
  <c r="U4" i="96"/>
  <c r="V4" i="96" s="1"/>
  <c r="K65" i="96"/>
  <c r="I65" i="96"/>
  <c r="J65" i="96"/>
  <c r="H102" i="96"/>
  <c r="H110" i="96"/>
  <c r="C32" i="96"/>
  <c r="U10" i="96" s="1"/>
  <c r="V10" i="96" s="1"/>
  <c r="H73" i="96"/>
  <c r="H88" i="96"/>
  <c r="H75" i="96"/>
  <c r="H91" i="96"/>
  <c r="H109" i="96"/>
  <c r="H89" i="96"/>
  <c r="H103" i="96"/>
  <c r="T88" i="96"/>
  <c r="T48" i="96"/>
  <c r="T54" i="96"/>
  <c r="T55" i="96"/>
  <c r="T84" i="96"/>
  <c r="T85" i="96"/>
  <c r="T83" i="96"/>
  <c r="W32" i="96"/>
  <c r="W31" i="96"/>
  <c r="H63" i="96"/>
  <c r="H70" i="96"/>
  <c r="H78" i="96"/>
  <c r="H66" i="96"/>
  <c r="H94" i="96"/>
  <c r="H104" i="96"/>
  <c r="H112" i="96"/>
  <c r="H64" i="96"/>
  <c r="H77" i="96"/>
  <c r="H92" i="96"/>
  <c r="H79" i="96"/>
  <c r="H95" i="96"/>
  <c r="H113" i="96"/>
  <c r="H93" i="96"/>
  <c r="H107" i="96"/>
  <c r="H58" i="96"/>
  <c r="H57" i="96"/>
  <c r="U5" i="96"/>
  <c r="V5" i="96" s="1"/>
  <c r="T90" i="96"/>
  <c r="T91" i="96"/>
  <c r="T86" i="96"/>
  <c r="T87" i="96"/>
  <c r="W34" i="96"/>
  <c r="W19" i="96"/>
  <c r="T57" i="96"/>
  <c r="T56" i="96"/>
  <c r="T51" i="96"/>
  <c r="T50" i="96"/>
  <c r="T59" i="96"/>
  <c r="T58" i="96"/>
  <c r="W20" i="96"/>
  <c r="T70" i="96"/>
  <c r="T71" i="96"/>
  <c r="T92" i="96"/>
  <c r="T93" i="96"/>
  <c r="W37" i="96"/>
  <c r="H67" i="96"/>
  <c r="H72" i="96"/>
  <c r="R28" i="96"/>
  <c r="H82" i="96"/>
  <c r="H98" i="96"/>
  <c r="H106" i="96"/>
  <c r="R29" i="96"/>
  <c r="H68" i="96"/>
  <c r="H80" i="96"/>
  <c r="H96" i="96"/>
  <c r="H83" i="96"/>
  <c r="H101" i="96"/>
  <c r="H81" i="96"/>
  <c r="H97" i="96"/>
  <c r="H111" i="96"/>
  <c r="I123" i="95"/>
  <c r="U21" i="95"/>
  <c r="U25" i="95"/>
  <c r="U22" i="95"/>
  <c r="U23" i="95"/>
  <c r="U35" i="95"/>
  <c r="U27" i="95"/>
  <c r="R30" i="95"/>
  <c r="B31" i="95" s="1"/>
  <c r="R28" i="95"/>
  <c r="H82" i="95"/>
  <c r="H70" i="95"/>
  <c r="H79" i="95"/>
  <c r="H94" i="95"/>
  <c r="H96" i="95"/>
  <c r="C31" i="95"/>
  <c r="U8" i="95" s="1"/>
  <c r="V8" i="95" s="1"/>
  <c r="H68" i="95"/>
  <c r="H84" i="95"/>
  <c r="H106" i="95"/>
  <c r="H101" i="95"/>
  <c r="H69" i="95"/>
  <c r="H85" i="95"/>
  <c r="H99" i="95"/>
  <c r="G57" i="95"/>
  <c r="G58" i="95"/>
  <c r="U7" i="95"/>
  <c r="V7" i="95" s="1"/>
  <c r="I58" i="95"/>
  <c r="I57" i="95"/>
  <c r="U9" i="95"/>
  <c r="V9" i="95" s="1"/>
  <c r="U32" i="95"/>
  <c r="U34" i="95"/>
  <c r="U28" i="95"/>
  <c r="U24" i="95"/>
  <c r="U39" i="95"/>
  <c r="U30" i="95"/>
  <c r="R31" i="95"/>
  <c r="B32" i="95" s="1"/>
  <c r="B28" i="95"/>
  <c r="H64" i="95"/>
  <c r="H83" i="95"/>
  <c r="H104" i="95"/>
  <c r="H100" i="95"/>
  <c r="C32" i="95"/>
  <c r="U10" i="95" s="1"/>
  <c r="V10" i="95" s="1"/>
  <c r="H72" i="95"/>
  <c r="H88" i="95"/>
  <c r="H110" i="95"/>
  <c r="H105" i="95"/>
  <c r="H73" i="95"/>
  <c r="H89" i="95"/>
  <c r="H103" i="95"/>
  <c r="J123" i="95"/>
  <c r="H58" i="95"/>
  <c r="U5" i="95"/>
  <c r="V5" i="95" s="1"/>
  <c r="H57" i="95"/>
  <c r="B23" i="95"/>
  <c r="F57" i="95"/>
  <c r="F58" i="95"/>
  <c r="U3" i="95"/>
  <c r="V3" i="95" s="1"/>
  <c r="U16" i="95"/>
  <c r="U38" i="95"/>
  <c r="U15" i="95"/>
  <c r="T46" i="95"/>
  <c r="T47" i="95"/>
  <c r="U26" i="95"/>
  <c r="U29" i="95"/>
  <c r="U31" i="95"/>
  <c r="H78" i="95"/>
  <c r="H65" i="95"/>
  <c r="H71" i="95"/>
  <c r="H87" i="95"/>
  <c r="H112" i="95"/>
  <c r="H108" i="95"/>
  <c r="H63" i="95"/>
  <c r="H76" i="95"/>
  <c r="H98" i="95"/>
  <c r="H91" i="95"/>
  <c r="H109" i="95"/>
  <c r="H77" i="95"/>
  <c r="H93" i="95"/>
  <c r="H107" i="95"/>
  <c r="J122" i="95"/>
  <c r="U18" i="95"/>
  <c r="U19" i="95"/>
  <c r="U20" i="95"/>
  <c r="U17" i="95"/>
  <c r="U33" i="95"/>
  <c r="U37" i="95"/>
  <c r="U36" i="95"/>
  <c r="H86" i="95"/>
  <c r="H74" i="95"/>
  <c r="H66" i="95"/>
  <c r="H75" i="95"/>
  <c r="H90" i="95"/>
  <c r="H92" i="95"/>
  <c r="R29" i="95"/>
  <c r="H67" i="95"/>
  <c r="H80" i="95"/>
  <c r="H102" i="95"/>
  <c r="H95" i="95"/>
  <c r="H113" i="95"/>
  <c r="H81" i="95"/>
  <c r="H97" i="95"/>
  <c r="H111" i="95"/>
  <c r="U23" i="93"/>
  <c r="U32" i="93"/>
  <c r="U37" i="93"/>
  <c r="U15" i="93"/>
  <c r="U31" i="93"/>
  <c r="U28" i="93"/>
  <c r="H111" i="93"/>
  <c r="H107" i="93"/>
  <c r="H103" i="93"/>
  <c r="H99" i="93"/>
  <c r="H97" i="93"/>
  <c r="H93" i="93"/>
  <c r="H89" i="93"/>
  <c r="H85" i="93"/>
  <c r="H81" i="93"/>
  <c r="H113" i="93"/>
  <c r="H109" i="93"/>
  <c r="H105" i="93"/>
  <c r="H101" i="93"/>
  <c r="H95" i="93"/>
  <c r="H91" i="93"/>
  <c r="H87" i="93"/>
  <c r="H83" i="93"/>
  <c r="H79" i="93"/>
  <c r="H75" i="93"/>
  <c r="H71" i="93"/>
  <c r="H96" i="93"/>
  <c r="H92" i="93"/>
  <c r="H88" i="93"/>
  <c r="H84" i="93"/>
  <c r="H66" i="93"/>
  <c r="R31" i="93"/>
  <c r="B32" i="93" s="1"/>
  <c r="R30" i="93"/>
  <c r="B31" i="93" s="1"/>
  <c r="B28" i="93"/>
  <c r="B27" i="93"/>
  <c r="H80" i="93"/>
  <c r="H76" i="93"/>
  <c r="H72" i="93"/>
  <c r="H65" i="93"/>
  <c r="H112" i="93"/>
  <c r="H110" i="93"/>
  <c r="H108" i="93"/>
  <c r="H106" i="93"/>
  <c r="H104" i="93"/>
  <c r="H102" i="93"/>
  <c r="H100" i="93"/>
  <c r="H98" i="93"/>
  <c r="H94" i="93"/>
  <c r="H90" i="93"/>
  <c r="H86" i="93"/>
  <c r="H82" i="93"/>
  <c r="H77" i="93"/>
  <c r="H73" i="93"/>
  <c r="H78" i="93"/>
  <c r="H74" i="93"/>
  <c r="H70" i="93"/>
  <c r="H67" i="93"/>
  <c r="H63" i="93"/>
  <c r="C32" i="93"/>
  <c r="U10" i="93" s="1"/>
  <c r="V10" i="93" s="1"/>
  <c r="C31" i="93"/>
  <c r="U8" i="93" s="1"/>
  <c r="V8" i="93" s="1"/>
  <c r="H68" i="93"/>
  <c r="H64" i="93"/>
  <c r="R29" i="93"/>
  <c r="H69" i="93"/>
  <c r="R28" i="93"/>
  <c r="B29" i="93"/>
  <c r="U24" i="93"/>
  <c r="U16" i="93"/>
  <c r="U19" i="93"/>
  <c r="U20" i="93"/>
  <c r="U36" i="93"/>
  <c r="U33" i="93"/>
  <c r="T47" i="93"/>
  <c r="T46" i="93"/>
  <c r="T72" i="93"/>
  <c r="T73" i="93"/>
  <c r="T55" i="93"/>
  <c r="T54" i="93"/>
  <c r="T68" i="93"/>
  <c r="T69" i="93"/>
  <c r="T94" i="93"/>
  <c r="T86" i="93"/>
  <c r="T87" i="93"/>
  <c r="W34" i="93"/>
  <c r="G58" i="93"/>
  <c r="G57" i="93"/>
  <c r="U7" i="93"/>
  <c r="V7" i="93" s="1"/>
  <c r="H58" i="93"/>
  <c r="H57" i="93"/>
  <c r="B23" i="93"/>
  <c r="U5" i="93"/>
  <c r="V5" i="93" s="1"/>
  <c r="U17" i="93"/>
  <c r="U30" i="93"/>
  <c r="U21" i="93"/>
  <c r="U26" i="93"/>
  <c r="U29" i="93"/>
  <c r="U39" i="93"/>
  <c r="U35" i="93"/>
  <c r="T63" i="92"/>
  <c r="T62" i="92"/>
  <c r="W22" i="92"/>
  <c r="T94" i="92"/>
  <c r="T95" i="92"/>
  <c r="W38" i="92"/>
  <c r="T80" i="92"/>
  <c r="T81" i="92"/>
  <c r="T61" i="92"/>
  <c r="W21" i="92"/>
  <c r="T60" i="92"/>
  <c r="T68" i="92"/>
  <c r="T69" i="92"/>
  <c r="W25" i="92"/>
  <c r="H111" i="92"/>
  <c r="H107" i="92"/>
  <c r="H103" i="92"/>
  <c r="H99" i="92"/>
  <c r="H97" i="92"/>
  <c r="H93" i="92"/>
  <c r="H89" i="92"/>
  <c r="H85" i="92"/>
  <c r="H81" i="92"/>
  <c r="H113" i="92"/>
  <c r="H109" i="92"/>
  <c r="H105" i="92"/>
  <c r="H101" i="92"/>
  <c r="H95" i="92"/>
  <c r="H91" i="92"/>
  <c r="H87" i="92"/>
  <c r="H83" i="92"/>
  <c r="H79" i="92"/>
  <c r="H75" i="92"/>
  <c r="H71" i="92"/>
  <c r="H96" i="92"/>
  <c r="H92" i="92"/>
  <c r="H88" i="92"/>
  <c r="H84" i="92"/>
  <c r="H80" i="92"/>
  <c r="H76" i="92"/>
  <c r="H72" i="92"/>
  <c r="H65" i="92"/>
  <c r="H77" i="92"/>
  <c r="H73" i="92"/>
  <c r="H69" i="92"/>
  <c r="H68" i="92"/>
  <c r="H64" i="92"/>
  <c r="H112" i="92"/>
  <c r="H110" i="92"/>
  <c r="H108" i="92"/>
  <c r="H106" i="92"/>
  <c r="H104" i="92"/>
  <c r="H102" i="92"/>
  <c r="H100" i="92"/>
  <c r="H98" i="92"/>
  <c r="H94" i="92"/>
  <c r="H90" i="92"/>
  <c r="H86" i="92"/>
  <c r="H82" i="92"/>
  <c r="H66" i="92"/>
  <c r="B29" i="92"/>
  <c r="R28" i="92"/>
  <c r="H63" i="92"/>
  <c r="C31" i="92"/>
  <c r="U8" i="92" s="1"/>
  <c r="V8" i="92" s="1"/>
  <c r="R30" i="92"/>
  <c r="B31" i="92" s="1"/>
  <c r="H78" i="92"/>
  <c r="H74" i="92"/>
  <c r="H70" i="92"/>
  <c r="R29" i="92"/>
  <c r="H67" i="92"/>
  <c r="C32" i="92"/>
  <c r="U10" i="92" s="1"/>
  <c r="V10" i="92" s="1"/>
  <c r="R31" i="92"/>
  <c r="B32" i="92" s="1"/>
  <c r="B28" i="92"/>
  <c r="B27" i="92"/>
  <c r="T74" i="92"/>
  <c r="T75" i="92"/>
  <c r="W28" i="92"/>
  <c r="T67" i="92"/>
  <c r="T66" i="92"/>
  <c r="T86" i="92"/>
  <c r="W34" i="92"/>
  <c r="T87" i="92"/>
  <c r="T82" i="92"/>
  <c r="W32" i="92"/>
  <c r="T83" i="92"/>
  <c r="G57" i="92"/>
  <c r="U7" i="92"/>
  <c r="V7" i="92" s="1"/>
  <c r="G58" i="92"/>
  <c r="T49" i="92"/>
  <c r="T48" i="92"/>
  <c r="W15" i="92"/>
  <c r="T88" i="92"/>
  <c r="T89" i="92"/>
  <c r="W35" i="92"/>
  <c r="T46" i="92"/>
  <c r="T47" i="92"/>
  <c r="T70" i="92"/>
  <c r="T71" i="92"/>
  <c r="W26" i="92"/>
  <c r="T51" i="92"/>
  <c r="T84" i="92"/>
  <c r="T85" i="92"/>
  <c r="W33" i="92"/>
  <c r="T76" i="92"/>
  <c r="T77" i="92"/>
  <c r="W29" i="92"/>
  <c r="F58" i="92"/>
  <c r="U3" i="92"/>
  <c r="V3" i="92" s="1"/>
  <c r="F57" i="92"/>
  <c r="I57" i="92"/>
  <c r="I58" i="92"/>
  <c r="U9" i="92"/>
  <c r="V9" i="92" s="1"/>
  <c r="T59" i="92"/>
  <c r="T58" i="92"/>
  <c r="W20" i="92"/>
  <c r="T53" i="92"/>
  <c r="T52" i="92"/>
  <c r="T72" i="92"/>
  <c r="T73" i="92"/>
  <c r="W27" i="92"/>
  <c r="W18" i="92"/>
  <c r="T54" i="92"/>
  <c r="T55" i="92"/>
  <c r="T92" i="92"/>
  <c r="T93" i="92"/>
  <c r="I123" i="91"/>
  <c r="B13" i="91"/>
  <c r="J123" i="91"/>
  <c r="H58" i="91"/>
  <c r="B23" i="91"/>
  <c r="H57" i="91"/>
  <c r="U5" i="91"/>
  <c r="V5" i="91" s="1"/>
  <c r="H77" i="91"/>
  <c r="H68" i="91"/>
  <c r="H82" i="91"/>
  <c r="H67" i="91"/>
  <c r="H86" i="91"/>
  <c r="H100" i="91"/>
  <c r="H108" i="91"/>
  <c r="H72" i="91"/>
  <c r="H66" i="91"/>
  <c r="H92" i="91"/>
  <c r="H79" i="91"/>
  <c r="H95" i="91"/>
  <c r="H113" i="91"/>
  <c r="H93" i="91"/>
  <c r="H107" i="91"/>
  <c r="U18" i="91"/>
  <c r="U38" i="91"/>
  <c r="U31" i="91"/>
  <c r="U27" i="91"/>
  <c r="U28" i="91"/>
  <c r="U32" i="91"/>
  <c r="G58" i="91"/>
  <c r="G57" i="91"/>
  <c r="U7" i="91"/>
  <c r="V7" i="91" s="1"/>
  <c r="F57" i="91"/>
  <c r="F58" i="91"/>
  <c r="U3" i="91"/>
  <c r="V3" i="91" s="1"/>
  <c r="I57" i="91"/>
  <c r="I58" i="91"/>
  <c r="U9" i="91"/>
  <c r="V9" i="91" s="1"/>
  <c r="H73" i="91"/>
  <c r="R30" i="91"/>
  <c r="B31" i="91" s="1"/>
  <c r="H70" i="91"/>
  <c r="H90" i="91"/>
  <c r="H102" i="91"/>
  <c r="H110" i="91"/>
  <c r="H76" i="91"/>
  <c r="H80" i="91"/>
  <c r="H96" i="91"/>
  <c r="H83" i="91"/>
  <c r="H101" i="91"/>
  <c r="H81" i="91"/>
  <c r="H97" i="91"/>
  <c r="H111" i="91"/>
  <c r="U20" i="91"/>
  <c r="U16" i="91"/>
  <c r="U37" i="91"/>
  <c r="U39" i="91"/>
  <c r="U36" i="91"/>
  <c r="U33" i="91"/>
  <c r="B28" i="91"/>
  <c r="C31" i="91"/>
  <c r="U8" i="91" s="1"/>
  <c r="V8" i="91" s="1"/>
  <c r="R29" i="91"/>
  <c r="R31" i="91"/>
  <c r="B32" i="91" s="1"/>
  <c r="B33" i="91" s="1"/>
  <c r="H74" i="91"/>
  <c r="H94" i="91"/>
  <c r="H104" i="91"/>
  <c r="H112" i="91"/>
  <c r="R28" i="91"/>
  <c r="H84" i="91"/>
  <c r="H71" i="91"/>
  <c r="H87" i="91"/>
  <c r="H105" i="91"/>
  <c r="H85" i="91"/>
  <c r="H99" i="91"/>
  <c r="T47" i="91"/>
  <c r="T46" i="91"/>
  <c r="U29" i="91"/>
  <c r="U21" i="91"/>
  <c r="U22" i="91"/>
  <c r="U15" i="91"/>
  <c r="U19" i="91"/>
  <c r="U34" i="91"/>
  <c r="J122" i="91"/>
  <c r="H69" i="91"/>
  <c r="H64" i="91"/>
  <c r="C32" i="91"/>
  <c r="U10" i="91" s="1"/>
  <c r="V10" i="91" s="1"/>
  <c r="H63" i="91"/>
  <c r="H78" i="91"/>
  <c r="H98" i="91"/>
  <c r="H106" i="91"/>
  <c r="H65" i="91"/>
  <c r="H88" i="91"/>
  <c r="H75" i="91"/>
  <c r="H91" i="91"/>
  <c r="H109" i="91"/>
  <c r="H89" i="91"/>
  <c r="H103" i="91"/>
  <c r="U17" i="91"/>
  <c r="U30" i="91"/>
  <c r="U24" i="91"/>
  <c r="U23" i="91"/>
  <c r="U26" i="91"/>
  <c r="U25" i="91"/>
  <c r="U35" i="91"/>
  <c r="U36" i="90"/>
  <c r="T90" i="90" s="1"/>
  <c r="U30" i="90"/>
  <c r="U24" i="90"/>
  <c r="U20" i="90"/>
  <c r="W20" i="90" s="1"/>
  <c r="U15" i="90"/>
  <c r="U39" i="90"/>
  <c r="T96" i="90" s="1"/>
  <c r="J122" i="90"/>
  <c r="I123" i="90"/>
  <c r="I122" i="90"/>
  <c r="U35" i="90"/>
  <c r="U17" i="90"/>
  <c r="W18" i="90" s="1"/>
  <c r="B13" i="90"/>
  <c r="I58" i="90"/>
  <c r="U9" i="90"/>
  <c r="V9" i="90" s="1"/>
  <c r="H57" i="90"/>
  <c r="B23" i="90"/>
  <c r="U5" i="90"/>
  <c r="V5" i="90" s="1"/>
  <c r="F57" i="90"/>
  <c r="F58" i="90"/>
  <c r="U3" i="90"/>
  <c r="V3" i="90" s="1"/>
  <c r="T68" i="90"/>
  <c r="T82" i="90"/>
  <c r="W32" i="90"/>
  <c r="T83" i="90"/>
  <c r="T72" i="90"/>
  <c r="T73" i="90"/>
  <c r="W27" i="90"/>
  <c r="T62" i="90"/>
  <c r="T63" i="90"/>
  <c r="W22" i="90"/>
  <c r="T92" i="90"/>
  <c r="T93" i="90"/>
  <c r="W37" i="90"/>
  <c r="T56" i="90"/>
  <c r="T57" i="90"/>
  <c r="W19" i="90"/>
  <c r="T60" i="90"/>
  <c r="T61" i="90"/>
  <c r="T80" i="90"/>
  <c r="T81" i="90"/>
  <c r="T70" i="90"/>
  <c r="T71" i="90"/>
  <c r="G58" i="90"/>
  <c r="U7" i="90"/>
  <c r="V7" i="90" s="1"/>
  <c r="G57" i="90"/>
  <c r="T84" i="90"/>
  <c r="T85" i="90"/>
  <c r="W33" i="90"/>
  <c r="T54" i="90"/>
  <c r="T55" i="90"/>
  <c r="T66" i="90"/>
  <c r="T67" i="90"/>
  <c r="W24" i="90"/>
  <c r="T59" i="90"/>
  <c r="W34" i="90"/>
  <c r="H111" i="90"/>
  <c r="H107" i="90"/>
  <c r="H103" i="90"/>
  <c r="H99" i="90"/>
  <c r="H97" i="90"/>
  <c r="H93" i="90"/>
  <c r="H89" i="90"/>
  <c r="H85" i="90"/>
  <c r="H81" i="90"/>
  <c r="H77" i="90"/>
  <c r="H73" i="90"/>
  <c r="H69" i="90"/>
  <c r="H113" i="90"/>
  <c r="H109" i="90"/>
  <c r="H105" i="90"/>
  <c r="H101" i="90"/>
  <c r="H110" i="90"/>
  <c r="H106" i="90"/>
  <c r="H102" i="90"/>
  <c r="H98" i="90"/>
  <c r="H94" i="90"/>
  <c r="H90" i="90"/>
  <c r="H95" i="90"/>
  <c r="H91" i="90"/>
  <c r="H66" i="90"/>
  <c r="H108" i="90"/>
  <c r="H100" i="90"/>
  <c r="H86" i="90"/>
  <c r="H82" i="90"/>
  <c r="H78" i="90"/>
  <c r="H74" i="90"/>
  <c r="H70" i="90"/>
  <c r="H65" i="90"/>
  <c r="H112" i="90"/>
  <c r="H104" i="90"/>
  <c r="H96" i="90"/>
  <c r="H92" i="90"/>
  <c r="H88" i="90"/>
  <c r="H84" i="90"/>
  <c r="H80" i="90"/>
  <c r="H76" i="90"/>
  <c r="H72" i="90"/>
  <c r="H68" i="90"/>
  <c r="H67" i="90"/>
  <c r="H63" i="90"/>
  <c r="R31" i="90"/>
  <c r="B32" i="90" s="1"/>
  <c r="B33" i="90" s="1"/>
  <c r="R30" i="90"/>
  <c r="B31" i="90" s="1"/>
  <c r="R29" i="90"/>
  <c r="B28" i="90"/>
  <c r="B27" i="90"/>
  <c r="H87" i="90"/>
  <c r="H79" i="90"/>
  <c r="H71" i="90"/>
  <c r="C32" i="90"/>
  <c r="U10" i="90" s="1"/>
  <c r="V10" i="90" s="1"/>
  <c r="C31" i="90"/>
  <c r="U8" i="90" s="1"/>
  <c r="V8" i="90" s="1"/>
  <c r="R28" i="90"/>
  <c r="H64" i="90"/>
  <c r="B29" i="90"/>
  <c r="H83" i="90"/>
  <c r="H75" i="90"/>
  <c r="W17" i="90"/>
  <c r="T76" i="90"/>
  <c r="T77" i="90"/>
  <c r="W29" i="90"/>
  <c r="T65" i="90"/>
  <c r="T74" i="90"/>
  <c r="W28" i="90"/>
  <c r="T75" i="90"/>
  <c r="I123" i="89"/>
  <c r="H58" i="89"/>
  <c r="U5" i="89"/>
  <c r="V5" i="89" s="1"/>
  <c r="H57" i="89"/>
  <c r="H111" i="89"/>
  <c r="H107" i="89"/>
  <c r="H103" i="89"/>
  <c r="H99" i="89"/>
  <c r="H97" i="89"/>
  <c r="H93" i="89"/>
  <c r="H89" i="89"/>
  <c r="H85" i="89"/>
  <c r="H81" i="89"/>
  <c r="H77" i="89"/>
  <c r="H73" i="89"/>
  <c r="H69" i="89"/>
  <c r="H113" i="89"/>
  <c r="H109" i="89"/>
  <c r="H104" i="89"/>
  <c r="H102" i="89"/>
  <c r="H96" i="89"/>
  <c r="H92" i="89"/>
  <c r="H88" i="89"/>
  <c r="H84" i="89"/>
  <c r="H80" i="89"/>
  <c r="H76" i="89"/>
  <c r="H72" i="89"/>
  <c r="H68" i="89"/>
  <c r="H67" i="89"/>
  <c r="H63" i="89"/>
  <c r="H101" i="89"/>
  <c r="H66" i="89"/>
  <c r="H112" i="89"/>
  <c r="H110" i="89"/>
  <c r="H108" i="89"/>
  <c r="H106" i="89"/>
  <c r="H100" i="89"/>
  <c r="H98" i="89"/>
  <c r="H94" i="89"/>
  <c r="H90" i="89"/>
  <c r="H86" i="89"/>
  <c r="H82" i="89"/>
  <c r="H78" i="89"/>
  <c r="H74" i="89"/>
  <c r="H70" i="89"/>
  <c r="H105" i="89"/>
  <c r="H91" i="89"/>
  <c r="H83" i="89"/>
  <c r="H75" i="89"/>
  <c r="C32" i="89"/>
  <c r="U10" i="89" s="1"/>
  <c r="V10" i="89" s="1"/>
  <c r="C31" i="89"/>
  <c r="U8" i="89" s="1"/>
  <c r="V8" i="89" s="1"/>
  <c r="R29" i="89"/>
  <c r="H65" i="89"/>
  <c r="R31" i="89"/>
  <c r="B32" i="89" s="1"/>
  <c r="R30" i="89"/>
  <c r="B31" i="89" s="1"/>
  <c r="B28" i="89"/>
  <c r="B27" i="89"/>
  <c r="H95" i="89"/>
  <c r="H87" i="89"/>
  <c r="H79" i="89"/>
  <c r="H71" i="89"/>
  <c r="H64" i="89"/>
  <c r="B29" i="89"/>
  <c r="R28" i="89"/>
  <c r="U21" i="89"/>
  <c r="U34" i="89"/>
  <c r="U36" i="89"/>
  <c r="U22" i="89"/>
  <c r="U27" i="89"/>
  <c r="T47" i="89"/>
  <c r="T46" i="89"/>
  <c r="F57" i="89"/>
  <c r="F58" i="89"/>
  <c r="U3" i="89"/>
  <c r="V3" i="89" s="1"/>
  <c r="U25" i="89"/>
  <c r="U35" i="89"/>
  <c r="U38" i="89"/>
  <c r="U23" i="89"/>
  <c r="U30" i="89"/>
  <c r="W31" i="89" s="1"/>
  <c r="U17" i="89"/>
  <c r="J123" i="89"/>
  <c r="T50" i="89"/>
  <c r="T51" i="89"/>
  <c r="T82" i="89"/>
  <c r="W32" i="89"/>
  <c r="T83" i="89"/>
  <c r="T48" i="89"/>
  <c r="T49" i="89"/>
  <c r="W15" i="89"/>
  <c r="T67" i="89"/>
  <c r="T80" i="89"/>
  <c r="T81" i="89"/>
  <c r="T76" i="89"/>
  <c r="T77" i="89"/>
  <c r="G58" i="89"/>
  <c r="U7" i="89"/>
  <c r="V7" i="89" s="1"/>
  <c r="G57" i="89"/>
  <c r="U18" i="89"/>
  <c r="U33" i="89"/>
  <c r="U28" i="89"/>
  <c r="W29" i="89" s="1"/>
  <c r="U20" i="89"/>
  <c r="U26" i="89"/>
  <c r="U37" i="89"/>
  <c r="U39" i="89"/>
  <c r="U28" i="88"/>
  <c r="U20" i="88"/>
  <c r="U26" i="88"/>
  <c r="T47" i="88"/>
  <c r="T46" i="88"/>
  <c r="U37" i="88"/>
  <c r="U21" i="88"/>
  <c r="U39" i="88"/>
  <c r="I58" i="88"/>
  <c r="I57" i="88"/>
  <c r="U9" i="88"/>
  <c r="V9" i="88" s="1"/>
  <c r="H111" i="88"/>
  <c r="H107" i="88"/>
  <c r="H103" i="88"/>
  <c r="H99" i="88"/>
  <c r="H97" i="88"/>
  <c r="H93" i="88"/>
  <c r="H89" i="88"/>
  <c r="H85" i="88"/>
  <c r="H81" i="88"/>
  <c r="H77" i="88"/>
  <c r="H73" i="88"/>
  <c r="H69" i="88"/>
  <c r="H113" i="88"/>
  <c r="H109" i="88"/>
  <c r="H105" i="88"/>
  <c r="H101" i="88"/>
  <c r="H112" i="88"/>
  <c r="H110" i="88"/>
  <c r="H108" i="88"/>
  <c r="H106" i="88"/>
  <c r="H104" i="88"/>
  <c r="H102" i="88"/>
  <c r="H100" i="88"/>
  <c r="H98" i="88"/>
  <c r="H94" i="88"/>
  <c r="H90" i="88"/>
  <c r="H86" i="88"/>
  <c r="H82" i="88"/>
  <c r="H78" i="88"/>
  <c r="H74" i="88"/>
  <c r="H70" i="88"/>
  <c r="H65" i="88"/>
  <c r="H95" i="88"/>
  <c r="H91" i="88"/>
  <c r="H87" i="88"/>
  <c r="H83" i="88"/>
  <c r="H79" i="88"/>
  <c r="H75" i="88"/>
  <c r="H71" i="88"/>
  <c r="H96" i="88"/>
  <c r="H92" i="88"/>
  <c r="H88" i="88"/>
  <c r="H84" i="88"/>
  <c r="H80" i="88"/>
  <c r="H76" i="88"/>
  <c r="H72" i="88"/>
  <c r="H68" i="88"/>
  <c r="H67" i="88"/>
  <c r="H63" i="88"/>
  <c r="R31" i="88"/>
  <c r="B32" i="88" s="1"/>
  <c r="C32" i="88"/>
  <c r="U10" i="88" s="1"/>
  <c r="V10" i="88" s="1"/>
  <c r="B29" i="88"/>
  <c r="R28" i="88"/>
  <c r="H64" i="88"/>
  <c r="C31" i="88"/>
  <c r="U8" i="88" s="1"/>
  <c r="V8" i="88" s="1"/>
  <c r="R29" i="88"/>
  <c r="H66" i="88"/>
  <c r="R30" i="88"/>
  <c r="B31" i="88" s="1"/>
  <c r="B28" i="88"/>
  <c r="B27" i="88"/>
  <c r="T81" i="88"/>
  <c r="T62" i="88"/>
  <c r="W22" i="88"/>
  <c r="T63" i="88"/>
  <c r="T72" i="88"/>
  <c r="T73" i="88"/>
  <c r="W27" i="88"/>
  <c r="U17" i="88"/>
  <c r="U38" i="88"/>
  <c r="U25" i="88"/>
  <c r="J122" i="88"/>
  <c r="G58" i="88"/>
  <c r="G57" i="88"/>
  <c r="U7" i="88"/>
  <c r="V7" i="88" s="1"/>
  <c r="I122" i="88"/>
  <c r="I123" i="88"/>
  <c r="F57" i="88"/>
  <c r="F58" i="88"/>
  <c r="U3" i="88"/>
  <c r="V3" i="88" s="1"/>
  <c r="U33" i="88"/>
  <c r="U23" i="88"/>
  <c r="U30" i="88"/>
  <c r="W31" i="88" s="1"/>
  <c r="U29" i="88"/>
  <c r="U16" i="88"/>
  <c r="U34" i="88"/>
  <c r="J123" i="88"/>
  <c r="U19" i="88"/>
  <c r="U15" i="88"/>
  <c r="U24" i="88"/>
  <c r="U32" i="88"/>
  <c r="U35" i="88"/>
  <c r="U18" i="88"/>
  <c r="U36" i="88"/>
  <c r="U39" i="87"/>
  <c r="T96" i="87" s="1"/>
  <c r="J123" i="87"/>
  <c r="H58" i="87"/>
  <c r="U5" i="87"/>
  <c r="V5" i="87" s="1"/>
  <c r="I123" i="87"/>
  <c r="I57" i="87"/>
  <c r="I58" i="87"/>
  <c r="U9" i="87"/>
  <c r="V9" i="87" s="1"/>
  <c r="U22" i="87"/>
  <c r="W23" i="87" s="1"/>
  <c r="U27" i="87"/>
  <c r="W28" i="87" s="1"/>
  <c r="T47" i="87"/>
  <c r="T46" i="87"/>
  <c r="U18" i="87"/>
  <c r="U19" i="87"/>
  <c r="W20" i="87" s="1"/>
  <c r="U32" i="87"/>
  <c r="T64" i="87"/>
  <c r="T65" i="87"/>
  <c r="T90" i="87"/>
  <c r="T52" i="87"/>
  <c r="W17" i="87"/>
  <c r="T53" i="87"/>
  <c r="T60" i="87"/>
  <c r="T61" i="87"/>
  <c r="W21" i="87"/>
  <c r="T74" i="87"/>
  <c r="T75" i="87"/>
  <c r="U33" i="87"/>
  <c r="H111" i="87"/>
  <c r="H107" i="87"/>
  <c r="H103" i="87"/>
  <c r="H99" i="87"/>
  <c r="H97" i="87"/>
  <c r="H93" i="87"/>
  <c r="H89" i="87"/>
  <c r="H85" i="87"/>
  <c r="H81" i="87"/>
  <c r="H77" i="87"/>
  <c r="H73" i="87"/>
  <c r="H69" i="87"/>
  <c r="H113" i="87"/>
  <c r="H109" i="87"/>
  <c r="H105" i="87"/>
  <c r="H101" i="87"/>
  <c r="H110" i="87"/>
  <c r="H106" i="87"/>
  <c r="H102" i="87"/>
  <c r="H98" i="87"/>
  <c r="H94" i="87"/>
  <c r="H90" i="87"/>
  <c r="H86" i="87"/>
  <c r="H82" i="87"/>
  <c r="H78" i="87"/>
  <c r="H74" i="87"/>
  <c r="H70" i="87"/>
  <c r="H65" i="87"/>
  <c r="H108" i="87"/>
  <c r="H100" i="87"/>
  <c r="H95" i="87"/>
  <c r="H96" i="87"/>
  <c r="H92" i="87"/>
  <c r="H112" i="87"/>
  <c r="H104" i="87"/>
  <c r="H66" i="87"/>
  <c r="H91" i="87"/>
  <c r="H88" i="87"/>
  <c r="H84" i="87"/>
  <c r="H80" i="87"/>
  <c r="H76" i="87"/>
  <c r="H72" i="87"/>
  <c r="H68" i="87"/>
  <c r="H67" i="87"/>
  <c r="H63" i="87"/>
  <c r="B28" i="87"/>
  <c r="B27" i="87"/>
  <c r="C31" i="87"/>
  <c r="U8" i="87" s="1"/>
  <c r="V8" i="87" s="1"/>
  <c r="R30" i="87"/>
  <c r="B31" i="87" s="1"/>
  <c r="B29" i="87"/>
  <c r="R28" i="87"/>
  <c r="C32" i="87"/>
  <c r="U10" i="87" s="1"/>
  <c r="V10" i="87" s="1"/>
  <c r="R31" i="87"/>
  <c r="B32" i="87" s="1"/>
  <c r="H87" i="87"/>
  <c r="H83" i="87"/>
  <c r="H79" i="87"/>
  <c r="H75" i="87"/>
  <c r="H71" i="87"/>
  <c r="H64" i="87"/>
  <c r="R29" i="87"/>
  <c r="U15" i="87"/>
  <c r="W16" i="87" s="1"/>
  <c r="U24" i="87"/>
  <c r="U37" i="87"/>
  <c r="U29" i="87"/>
  <c r="U25" i="87"/>
  <c r="U30" i="87"/>
  <c r="U34" i="87"/>
  <c r="W35" i="87" s="1"/>
  <c r="G58" i="87"/>
  <c r="G57" i="87"/>
  <c r="U7" i="87"/>
  <c r="V7" i="87" s="1"/>
  <c r="T59" i="87"/>
  <c r="T70" i="87"/>
  <c r="T71" i="87"/>
  <c r="T95" i="87"/>
  <c r="T51" i="87"/>
  <c r="T50" i="87"/>
  <c r="T81" i="87"/>
  <c r="T88" i="87"/>
  <c r="T89" i="87"/>
  <c r="I122" i="86"/>
  <c r="I123" i="86"/>
  <c r="I122" i="45"/>
  <c r="J123" i="86"/>
  <c r="H57" i="86"/>
  <c r="U5" i="86"/>
  <c r="V5" i="86" s="1"/>
  <c r="U23" i="86"/>
  <c r="U29" i="86"/>
  <c r="U17" i="86"/>
  <c r="U38" i="86"/>
  <c r="U25" i="86"/>
  <c r="U33" i="86"/>
  <c r="H111" i="86"/>
  <c r="H107" i="86"/>
  <c r="H103" i="86"/>
  <c r="H99" i="86"/>
  <c r="H97" i="86"/>
  <c r="H93" i="86"/>
  <c r="H89" i="86"/>
  <c r="H85" i="86"/>
  <c r="H81" i="86"/>
  <c r="H77" i="86"/>
  <c r="H113" i="86"/>
  <c r="H109" i="86"/>
  <c r="H105" i="86"/>
  <c r="H101" i="86"/>
  <c r="H95" i="86"/>
  <c r="H91" i="86"/>
  <c r="H87" i="86"/>
  <c r="H83" i="86"/>
  <c r="H79" i="86"/>
  <c r="H75" i="86"/>
  <c r="H71" i="86"/>
  <c r="H96" i="86"/>
  <c r="H92" i="86"/>
  <c r="H88" i="86"/>
  <c r="H84" i="86"/>
  <c r="H80" i="86"/>
  <c r="H76" i="86"/>
  <c r="H73" i="86"/>
  <c r="H69" i="86"/>
  <c r="H68" i="86"/>
  <c r="H64" i="86"/>
  <c r="H74" i="86"/>
  <c r="H70" i="86"/>
  <c r="H67" i="86"/>
  <c r="H63" i="86"/>
  <c r="R31" i="86"/>
  <c r="B32" i="86" s="1"/>
  <c r="R30" i="86"/>
  <c r="B31" i="86" s="1"/>
  <c r="H112" i="86"/>
  <c r="H110" i="86"/>
  <c r="H108" i="86"/>
  <c r="H106" i="86"/>
  <c r="H104" i="86"/>
  <c r="H102" i="86"/>
  <c r="H100" i="86"/>
  <c r="H98" i="86"/>
  <c r="H94" i="86"/>
  <c r="H90" i="86"/>
  <c r="H86" i="86"/>
  <c r="H65" i="86"/>
  <c r="R29" i="86"/>
  <c r="B28" i="86"/>
  <c r="B27" i="86"/>
  <c r="H72" i="86"/>
  <c r="C32" i="86"/>
  <c r="U10" i="86" s="1"/>
  <c r="V10" i="86" s="1"/>
  <c r="R28" i="86"/>
  <c r="B29" i="86"/>
  <c r="H82" i="86"/>
  <c r="H78" i="86"/>
  <c r="H66" i="86"/>
  <c r="C31" i="86"/>
  <c r="U8" i="86" s="1"/>
  <c r="V8" i="86" s="1"/>
  <c r="I58" i="86"/>
  <c r="U9" i="86"/>
  <c r="V9" i="86" s="1"/>
  <c r="I57" i="86"/>
  <c r="T49" i="86"/>
  <c r="W15" i="86"/>
  <c r="T48" i="86"/>
  <c r="T82" i="86"/>
  <c r="W34" i="86"/>
  <c r="U28" i="86"/>
  <c r="F58" i="86"/>
  <c r="F57" i="86"/>
  <c r="U3" i="86"/>
  <c r="V3" i="86" s="1"/>
  <c r="U20" i="86"/>
  <c r="W21" i="86" s="1"/>
  <c r="U26" i="86"/>
  <c r="U39" i="86"/>
  <c r="U35" i="86"/>
  <c r="U18" i="86"/>
  <c r="U19" i="86"/>
  <c r="U36" i="86"/>
  <c r="W37" i="86" s="1"/>
  <c r="G57" i="86"/>
  <c r="G58" i="86"/>
  <c r="U7" i="86"/>
  <c r="V7" i="86" s="1"/>
  <c r="T63" i="86"/>
  <c r="T73" i="86"/>
  <c r="T72" i="86"/>
  <c r="T46" i="86"/>
  <c r="T47" i="86"/>
  <c r="T92" i="86"/>
  <c r="T93" i="86"/>
  <c r="T61" i="86"/>
  <c r="T60" i="86"/>
  <c r="T80" i="86"/>
  <c r="T81" i="86"/>
  <c r="H101" i="45"/>
  <c r="J101" i="45" s="1"/>
  <c r="H89" i="45"/>
  <c r="J89" i="45" s="1"/>
  <c r="H80" i="45"/>
  <c r="K80" i="45" s="1"/>
  <c r="H112" i="45"/>
  <c r="I112" i="45" s="1"/>
  <c r="H69" i="45"/>
  <c r="J69" i="45" s="1"/>
  <c r="R29" i="45"/>
  <c r="H109" i="45"/>
  <c r="J109" i="45" s="1"/>
  <c r="H100" i="45"/>
  <c r="J100" i="45" s="1"/>
  <c r="H88" i="45"/>
  <c r="I88" i="45" s="1"/>
  <c r="H77" i="45"/>
  <c r="H68" i="45"/>
  <c r="J68" i="45" s="1"/>
  <c r="R28" i="45"/>
  <c r="H105" i="45"/>
  <c r="J105" i="45" s="1"/>
  <c r="H96" i="45"/>
  <c r="J96" i="45" s="1"/>
  <c r="H85" i="45"/>
  <c r="H73" i="45"/>
  <c r="J73" i="45" s="1"/>
  <c r="H64" i="45"/>
  <c r="I64" i="45" s="1"/>
  <c r="B27" i="45"/>
  <c r="H104" i="45"/>
  <c r="I104" i="45" s="1"/>
  <c r="H93" i="45"/>
  <c r="I93" i="45" s="1"/>
  <c r="H84" i="45"/>
  <c r="I84" i="45" s="1"/>
  <c r="C32" i="45"/>
  <c r="U10" i="45" s="1"/>
  <c r="V10" i="45" s="1"/>
  <c r="C31" i="45"/>
  <c r="U8" i="45" s="1"/>
  <c r="V8" i="45" s="1"/>
  <c r="B38" i="45"/>
  <c r="X14" i="45" s="1"/>
  <c r="U29" i="45"/>
  <c r="U14" i="45"/>
  <c r="K89" i="45"/>
  <c r="R31" i="45"/>
  <c r="B32" i="45" s="1"/>
  <c r="B29" i="45"/>
  <c r="H110" i="45"/>
  <c r="H107" i="45"/>
  <c r="H102" i="45"/>
  <c r="H99" i="45"/>
  <c r="H94" i="45"/>
  <c r="H91" i="45"/>
  <c r="H86" i="45"/>
  <c r="H83" i="45"/>
  <c r="H78" i="45"/>
  <c r="H75" i="45"/>
  <c r="H70" i="45"/>
  <c r="H67" i="45"/>
  <c r="H111" i="45"/>
  <c r="H106" i="45"/>
  <c r="H103" i="45"/>
  <c r="H98" i="45"/>
  <c r="H95" i="45"/>
  <c r="H90" i="45"/>
  <c r="H87" i="45"/>
  <c r="H82" i="45"/>
  <c r="H79" i="45"/>
  <c r="H74" i="45"/>
  <c r="H71" i="45"/>
  <c r="H66" i="45"/>
  <c r="H63" i="45"/>
  <c r="U7" i="45"/>
  <c r="V7" i="45" s="1"/>
  <c r="G58" i="45"/>
  <c r="G57" i="45"/>
  <c r="U5" i="45"/>
  <c r="V5" i="45" s="1"/>
  <c r="H58" i="45"/>
  <c r="H57" i="45"/>
  <c r="F58" i="45"/>
  <c r="F57" i="45"/>
  <c r="U3" i="45"/>
  <c r="V3" i="45" s="1"/>
  <c r="R30" i="45"/>
  <c r="B31" i="45" s="1"/>
  <c r="H113" i="45"/>
  <c r="H108" i="45"/>
  <c r="J108" i="45" s="1"/>
  <c r="H97" i="45"/>
  <c r="H92" i="45"/>
  <c r="J92" i="45" s="1"/>
  <c r="H81" i="45"/>
  <c r="H76" i="45"/>
  <c r="K76" i="45" s="1"/>
  <c r="H65" i="45"/>
  <c r="U9" i="45"/>
  <c r="V9" i="45" s="1"/>
  <c r="I58" i="45"/>
  <c r="I57" i="45"/>
  <c r="K88" i="45"/>
  <c r="J88" i="45"/>
  <c r="I72" i="45"/>
  <c r="K64" i="45"/>
  <c r="J64" i="45"/>
  <c r="B13" i="45"/>
  <c r="J123" i="44"/>
  <c r="C21" i="44"/>
  <c r="U7" i="44" s="1"/>
  <c r="V7" i="44" s="1"/>
  <c r="B20" i="44"/>
  <c r="J122" i="44"/>
  <c r="B21" i="44"/>
  <c r="U3" i="44" s="1"/>
  <c r="V3" i="44" s="1"/>
  <c r="B22" i="44"/>
  <c r="U5" i="44" s="1"/>
  <c r="V5" i="44" s="1"/>
  <c r="B19" i="44"/>
  <c r="I122" i="44"/>
  <c r="B13" i="44"/>
  <c r="B36" i="44"/>
  <c r="U14" i="44" s="1"/>
  <c r="R42" i="43"/>
  <c r="S42" i="43" s="1"/>
  <c r="R46" i="43"/>
  <c r="S46" i="43" s="1"/>
  <c r="E111" i="43"/>
  <c r="E114" i="43" s="1"/>
  <c r="R44" i="43"/>
  <c r="S44" i="43" s="1"/>
  <c r="R48" i="43"/>
  <c r="S48" i="43" s="1"/>
  <c r="R41" i="43"/>
  <c r="S41" i="43" s="1"/>
  <c r="R45" i="43"/>
  <c r="S45" i="43" s="1"/>
  <c r="D113" i="43"/>
  <c r="D114" i="43"/>
  <c r="R5" i="43"/>
  <c r="S5" i="43" s="1"/>
  <c r="R9" i="43"/>
  <c r="S9" i="43" s="1"/>
  <c r="R13" i="43"/>
  <c r="S13" i="43" s="1"/>
  <c r="R17" i="43"/>
  <c r="S17" i="43" s="1"/>
  <c r="R21" i="43"/>
  <c r="S21" i="43" s="1"/>
  <c r="R25" i="43"/>
  <c r="S25" i="43" s="1"/>
  <c r="R29" i="43"/>
  <c r="S29" i="43" s="1"/>
  <c r="R33" i="43"/>
  <c r="S33" i="43" s="1"/>
  <c r="R37" i="43"/>
  <c r="S37" i="43" s="1"/>
  <c r="R6" i="43"/>
  <c r="S6" i="43" s="1"/>
  <c r="R10" i="43"/>
  <c r="S10" i="43" s="1"/>
  <c r="R14" i="43"/>
  <c r="S14" i="43" s="1"/>
  <c r="R18" i="43"/>
  <c r="S18" i="43" s="1"/>
  <c r="R22" i="43"/>
  <c r="S22" i="43" s="1"/>
  <c r="R26" i="43"/>
  <c r="S26" i="43" s="1"/>
  <c r="R30" i="43"/>
  <c r="S30" i="43" s="1"/>
  <c r="R34" i="43"/>
  <c r="S34" i="43" s="1"/>
  <c r="R38" i="43"/>
  <c r="S38" i="43" s="1"/>
  <c r="R3" i="43"/>
  <c r="S3" i="43" s="1"/>
  <c r="R7" i="43"/>
  <c r="S7" i="43" s="1"/>
  <c r="R11" i="43"/>
  <c r="S11" i="43" s="1"/>
  <c r="R15" i="43"/>
  <c r="S15" i="43" s="1"/>
  <c r="R19" i="43"/>
  <c r="S19" i="43" s="1"/>
  <c r="R23" i="43"/>
  <c r="S23" i="43" s="1"/>
  <c r="R27" i="43"/>
  <c r="S27" i="43" s="1"/>
  <c r="R31" i="43"/>
  <c r="S31" i="43" s="1"/>
  <c r="R35" i="43"/>
  <c r="S35" i="43" s="1"/>
  <c r="R39" i="43"/>
  <c r="S39" i="43" s="1"/>
  <c r="R4" i="43"/>
  <c r="S4" i="43" s="1"/>
  <c r="R8" i="43"/>
  <c r="S8" i="43" s="1"/>
  <c r="R12" i="43"/>
  <c r="S12" i="43" s="1"/>
  <c r="R16" i="43"/>
  <c r="S16" i="43" s="1"/>
  <c r="R20" i="43"/>
  <c r="S20" i="43" s="1"/>
  <c r="R24" i="43"/>
  <c r="S24" i="43" s="1"/>
  <c r="R28" i="43"/>
  <c r="S28" i="43" s="1"/>
  <c r="R32" i="43"/>
  <c r="S32" i="43" s="1"/>
  <c r="R36" i="43"/>
  <c r="S36" i="43" s="1"/>
  <c r="R40" i="43"/>
  <c r="S40" i="43" s="1"/>
  <c r="E26" i="45"/>
  <c r="I57" i="44"/>
  <c r="I58" i="44"/>
  <c r="G58" i="44"/>
  <c r="E27" i="45"/>
  <c r="F25" i="45"/>
  <c r="I123" i="44"/>
  <c r="W16" i="90" l="1"/>
  <c r="T48" i="90"/>
  <c r="T68" i="119"/>
  <c r="T69" i="119"/>
  <c r="W21" i="106"/>
  <c r="T59" i="106"/>
  <c r="V15" i="100"/>
  <c r="X15" i="100" s="1"/>
  <c r="W28" i="100"/>
  <c r="W29" i="100"/>
  <c r="W36" i="100"/>
  <c r="T88" i="100"/>
  <c r="T78" i="106"/>
  <c r="T79" i="106"/>
  <c r="W31" i="106"/>
  <c r="T49" i="106"/>
  <c r="V15" i="106"/>
  <c r="X15" i="106" s="1"/>
  <c r="V16" i="106" a="1"/>
  <c r="T51" i="106"/>
  <c r="T50" i="106"/>
  <c r="X14" i="98"/>
  <c r="U16" i="98"/>
  <c r="U27" i="98"/>
  <c r="U18" i="98"/>
  <c r="U30" i="98"/>
  <c r="U35" i="98"/>
  <c r="U24" i="98"/>
  <c r="U28" i="98"/>
  <c r="T46" i="98"/>
  <c r="U25" i="98"/>
  <c r="U32" i="98"/>
  <c r="U19" i="98"/>
  <c r="U31" i="98"/>
  <c r="U39" i="98"/>
  <c r="T47" i="98"/>
  <c r="T46" i="90"/>
  <c r="T47" i="90"/>
  <c r="G57" i="44"/>
  <c r="I80" i="45"/>
  <c r="U22" i="45"/>
  <c r="K101" i="45"/>
  <c r="U20" i="98"/>
  <c r="U38" i="98"/>
  <c r="U23" i="98"/>
  <c r="W37" i="100"/>
  <c r="W33" i="100"/>
  <c r="T74" i="100"/>
  <c r="T47" i="113"/>
  <c r="K104" i="45"/>
  <c r="T91" i="90"/>
  <c r="U36" i="98"/>
  <c r="U22" i="98"/>
  <c r="U29" i="98"/>
  <c r="U17" i="98"/>
  <c r="T83" i="100"/>
  <c r="T47" i="102"/>
  <c r="W19" i="106"/>
  <c r="W16" i="106"/>
  <c r="W25" i="119"/>
  <c r="W22" i="101"/>
  <c r="T63" i="101"/>
  <c r="T61" i="101"/>
  <c r="T60" i="101"/>
  <c r="W18" i="102"/>
  <c r="T55" i="102"/>
  <c r="W31" i="102"/>
  <c r="W32" i="102"/>
  <c r="T94" i="102"/>
  <c r="W39" i="102"/>
  <c r="W17" i="102"/>
  <c r="T50" i="102"/>
  <c r="V16" i="102" a="1"/>
  <c r="J101" i="107"/>
  <c r="I101" i="107"/>
  <c r="I90" i="107"/>
  <c r="J90" i="107"/>
  <c r="T48" i="109"/>
  <c r="W15" i="109"/>
  <c r="T80" i="109"/>
  <c r="T81" i="109"/>
  <c r="W28" i="111"/>
  <c r="T74" i="111"/>
  <c r="W16" i="111"/>
  <c r="V16" i="111" a="1"/>
  <c r="W36" i="113"/>
  <c r="T91" i="113"/>
  <c r="T50" i="113"/>
  <c r="T51" i="113"/>
  <c r="W17" i="113"/>
  <c r="W15" i="113"/>
  <c r="W24" i="113"/>
  <c r="T66" i="113"/>
  <c r="U33" i="115"/>
  <c r="U37" i="115"/>
  <c r="U17" i="115"/>
  <c r="T50" i="90"/>
  <c r="T51" i="90"/>
  <c r="W30" i="108"/>
  <c r="T76" i="108"/>
  <c r="W31" i="108"/>
  <c r="W32" i="108"/>
  <c r="T59" i="108"/>
  <c r="W20" i="108"/>
  <c r="W21" i="108"/>
  <c r="W37" i="108"/>
  <c r="T93" i="108"/>
  <c r="T78" i="90"/>
  <c r="W30" i="90"/>
  <c r="T56" i="106"/>
  <c r="W20" i="106"/>
  <c r="W30" i="106"/>
  <c r="W15" i="106"/>
  <c r="T78" i="119"/>
  <c r="T50" i="92"/>
  <c r="W16" i="92"/>
  <c r="V16" i="92" a="1"/>
  <c r="T90" i="92"/>
  <c r="T91" i="92"/>
  <c r="T56" i="92"/>
  <c r="W19" i="92"/>
  <c r="T64" i="92"/>
  <c r="T65" i="92"/>
  <c r="J90" i="96"/>
  <c r="K90" i="96"/>
  <c r="T77" i="117"/>
  <c r="W29" i="117"/>
  <c r="T71" i="117"/>
  <c r="W26" i="117"/>
  <c r="T70" i="117"/>
  <c r="T68" i="117"/>
  <c r="T69" i="117"/>
  <c r="T58" i="118"/>
  <c r="T59" i="118"/>
  <c r="W20" i="118"/>
  <c r="W21" i="118"/>
  <c r="W35" i="118"/>
  <c r="T89" i="118"/>
  <c r="T56" i="118"/>
  <c r="W19" i="118"/>
  <c r="T67" i="119"/>
  <c r="T66" i="119"/>
  <c r="T80" i="96"/>
  <c r="T81" i="96"/>
  <c r="T64" i="90"/>
  <c r="W23" i="90"/>
  <c r="W38" i="93"/>
  <c r="T54" i="108"/>
  <c r="T90" i="108"/>
  <c r="T90" i="109"/>
  <c r="T61" i="109"/>
  <c r="W18" i="111"/>
  <c r="W37" i="111"/>
  <c r="T91" i="111"/>
  <c r="T93" i="113"/>
  <c r="W30" i="113"/>
  <c r="T74" i="117"/>
  <c r="W24" i="117"/>
  <c r="T63" i="118"/>
  <c r="T55" i="118"/>
  <c r="W24" i="119"/>
  <c r="W21" i="96"/>
  <c r="T46" i="112"/>
  <c r="I85" i="107"/>
  <c r="I66" i="107"/>
  <c r="T50" i="109"/>
  <c r="T54" i="109"/>
  <c r="T60" i="109"/>
  <c r="W16" i="117"/>
  <c r="W25" i="118"/>
  <c r="W30" i="119"/>
  <c r="W24" i="89"/>
  <c r="W25" i="90"/>
  <c r="U35" i="112"/>
  <c r="U19" i="112"/>
  <c r="T56" i="112" s="1"/>
  <c r="W25" i="113"/>
  <c r="T90" i="113"/>
  <c r="W28" i="113"/>
  <c r="T67" i="113"/>
  <c r="W22" i="113"/>
  <c r="W34" i="113"/>
  <c r="W38" i="113"/>
  <c r="W21" i="113"/>
  <c r="T73" i="113"/>
  <c r="T48" i="113"/>
  <c r="W16" i="113"/>
  <c r="T82" i="112"/>
  <c r="T83" i="112"/>
  <c r="T47" i="112"/>
  <c r="T62" i="112"/>
  <c r="T57" i="112"/>
  <c r="U33" i="112"/>
  <c r="U38" i="112"/>
  <c r="U21" i="112"/>
  <c r="W22" i="112" s="1"/>
  <c r="U30" i="112"/>
  <c r="U27" i="112"/>
  <c r="U23" i="112"/>
  <c r="U37" i="112"/>
  <c r="U17" i="112"/>
  <c r="U34" i="112"/>
  <c r="X14" i="112"/>
  <c r="U20" i="112"/>
  <c r="U18" i="112"/>
  <c r="U26" i="112"/>
  <c r="U31" i="112"/>
  <c r="U29" i="112"/>
  <c r="U25" i="112"/>
  <c r="U36" i="112"/>
  <c r="U15" i="112"/>
  <c r="U28" i="112"/>
  <c r="U24" i="112"/>
  <c r="U16" i="112"/>
  <c r="T68" i="111"/>
  <c r="T50" i="111"/>
  <c r="W22" i="111"/>
  <c r="T96" i="111"/>
  <c r="T60" i="111"/>
  <c r="T70" i="111"/>
  <c r="T75" i="111"/>
  <c r="W25" i="111"/>
  <c r="T51" i="111"/>
  <c r="W39" i="111"/>
  <c r="T61" i="111"/>
  <c r="W26" i="111"/>
  <c r="W17" i="111"/>
  <c r="W29" i="111"/>
  <c r="W27" i="111"/>
  <c r="V15" i="111"/>
  <c r="X15" i="111" s="1"/>
  <c r="U47" i="111" s="1"/>
  <c r="T89" i="109"/>
  <c r="W18" i="109"/>
  <c r="T78" i="109"/>
  <c r="T85" i="109"/>
  <c r="W39" i="108"/>
  <c r="W26" i="108"/>
  <c r="W34" i="108"/>
  <c r="W27" i="108"/>
  <c r="V15" i="108"/>
  <c r="X15" i="108" s="1"/>
  <c r="W24" i="108"/>
  <c r="W25" i="108"/>
  <c r="T89" i="108"/>
  <c r="V16" i="108" a="1"/>
  <c r="T48" i="108"/>
  <c r="W16" i="108"/>
  <c r="I84" i="107"/>
  <c r="J85" i="107"/>
  <c r="K66" i="107"/>
  <c r="I80" i="107"/>
  <c r="K69" i="107"/>
  <c r="I65" i="107"/>
  <c r="J102" i="107"/>
  <c r="K96" i="107"/>
  <c r="I108" i="107"/>
  <c r="I70" i="107"/>
  <c r="K65" i="107"/>
  <c r="J108" i="107"/>
  <c r="W34" i="102"/>
  <c r="T70" i="102"/>
  <c r="T64" i="102"/>
  <c r="W33" i="102"/>
  <c r="W25" i="102"/>
  <c r="W26" i="102"/>
  <c r="T62" i="102"/>
  <c r="W38" i="102"/>
  <c r="T93" i="102"/>
  <c r="W23" i="102"/>
  <c r="V15" i="102"/>
  <c r="X15" i="102" s="1"/>
  <c r="U47" i="102" s="1"/>
  <c r="W24" i="102"/>
  <c r="W27" i="102"/>
  <c r="T67" i="101"/>
  <c r="T68" i="101"/>
  <c r="W16" i="101"/>
  <c r="W24" i="101"/>
  <c r="I90" i="96"/>
  <c r="W24" i="96"/>
  <c r="V16" i="96" a="1"/>
  <c r="J76" i="96"/>
  <c r="W25" i="96"/>
  <c r="T74" i="96"/>
  <c r="T94" i="96"/>
  <c r="W26" i="96"/>
  <c r="W36" i="96"/>
  <c r="T66" i="96"/>
  <c r="T82" i="96"/>
  <c r="V15" i="96"/>
  <c r="X15" i="96" s="1"/>
  <c r="W35" i="96"/>
  <c r="I76" i="96"/>
  <c r="T76" i="96"/>
  <c r="W39" i="96"/>
  <c r="T60" i="96"/>
  <c r="W16" i="96"/>
  <c r="T49" i="96"/>
  <c r="W29" i="96"/>
  <c r="W30" i="96"/>
  <c r="T63" i="93"/>
  <c r="W37" i="92"/>
  <c r="T57" i="92"/>
  <c r="W36" i="92"/>
  <c r="V15" i="92"/>
  <c r="X15" i="92" s="1"/>
  <c r="U47" i="92" s="1"/>
  <c r="T79" i="92"/>
  <c r="W39" i="92"/>
  <c r="W31" i="92"/>
  <c r="W23" i="92"/>
  <c r="W17" i="92"/>
  <c r="W30" i="92"/>
  <c r="W24" i="92"/>
  <c r="T97" i="92"/>
  <c r="T79" i="90"/>
  <c r="W38" i="90"/>
  <c r="W31" i="90"/>
  <c r="T69" i="90"/>
  <c r="W39" i="90"/>
  <c r="T95" i="90"/>
  <c r="T97" i="90"/>
  <c r="W26" i="90"/>
  <c r="T66" i="89"/>
  <c r="T56" i="89"/>
  <c r="W31" i="87"/>
  <c r="T91" i="87"/>
  <c r="W38" i="87"/>
  <c r="W39" i="87"/>
  <c r="K72" i="45"/>
  <c r="U24" i="45"/>
  <c r="U38" i="45"/>
  <c r="T94" i="45" s="1"/>
  <c r="K112" i="45"/>
  <c r="U27" i="45"/>
  <c r="W32" i="86"/>
  <c r="T66" i="86"/>
  <c r="W24" i="86"/>
  <c r="W22" i="86"/>
  <c r="T79" i="86"/>
  <c r="T50" i="86"/>
  <c r="W16" i="86"/>
  <c r="W30" i="86"/>
  <c r="W31" i="86"/>
  <c r="T62" i="86"/>
  <c r="T87" i="86"/>
  <c r="B41" i="120"/>
  <c r="E107" i="120" s="1"/>
  <c r="E107" i="122"/>
  <c r="E106" i="122"/>
  <c r="B113" i="122"/>
  <c r="E113" i="122" s="1"/>
  <c r="B103" i="122"/>
  <c r="D103" i="122"/>
  <c r="E107" i="121"/>
  <c r="E106" i="121"/>
  <c r="B113" i="121"/>
  <c r="E113" i="121" s="1"/>
  <c r="B103" i="121"/>
  <c r="D103" i="121"/>
  <c r="B113" i="120"/>
  <c r="E113" i="120" s="1"/>
  <c r="B103" i="120"/>
  <c r="D103" i="120"/>
  <c r="U17" i="97"/>
  <c r="F58" i="44"/>
  <c r="W18" i="118"/>
  <c r="W25" i="117"/>
  <c r="T66" i="117"/>
  <c r="U29" i="115"/>
  <c r="U28" i="115"/>
  <c r="U32" i="115"/>
  <c r="T46" i="115"/>
  <c r="U24" i="115"/>
  <c r="U18" i="115"/>
  <c r="U39" i="115"/>
  <c r="U35" i="115"/>
  <c r="U15" i="115"/>
  <c r="U20" i="115"/>
  <c r="U27" i="115"/>
  <c r="T47" i="115"/>
  <c r="U25" i="115"/>
  <c r="U19" i="115"/>
  <c r="X14" i="115"/>
  <c r="U38" i="115"/>
  <c r="U34" i="115"/>
  <c r="U30" i="115"/>
  <c r="U36" i="115"/>
  <c r="U21" i="115"/>
  <c r="U26" i="115"/>
  <c r="U22" i="115"/>
  <c r="U31" i="115"/>
  <c r="U23" i="115"/>
  <c r="U16" i="115"/>
  <c r="W37" i="113"/>
  <c r="T96" i="113"/>
  <c r="T87" i="113"/>
  <c r="T95" i="113"/>
  <c r="V15" i="113"/>
  <c r="X15" i="113" s="1"/>
  <c r="W35" i="113"/>
  <c r="W39" i="113"/>
  <c r="T79" i="113"/>
  <c r="W27" i="113"/>
  <c r="V16" i="113" a="1"/>
  <c r="V39" i="113" s="1"/>
  <c r="X39" i="113" s="1"/>
  <c r="T71" i="113"/>
  <c r="W31" i="113"/>
  <c r="T86" i="111"/>
  <c r="T87" i="111"/>
  <c r="W34" i="111"/>
  <c r="U25" i="110"/>
  <c r="U26" i="110"/>
  <c r="T47" i="110"/>
  <c r="U38" i="110"/>
  <c r="U20" i="110"/>
  <c r="U33" i="110"/>
  <c r="U37" i="110"/>
  <c r="U19" i="110"/>
  <c r="U24" i="110"/>
  <c r="U32" i="110"/>
  <c r="U28" i="110"/>
  <c r="U34" i="110"/>
  <c r="T46" i="110"/>
  <c r="U21" i="110"/>
  <c r="X14" i="110"/>
  <c r="U23" i="110"/>
  <c r="U15" i="110"/>
  <c r="U22" i="110"/>
  <c r="U30" i="110"/>
  <c r="U35" i="110"/>
  <c r="U16" i="110"/>
  <c r="U31" i="110"/>
  <c r="U27" i="110"/>
  <c r="U17" i="110"/>
  <c r="U39" i="110"/>
  <c r="U36" i="110"/>
  <c r="U18" i="110"/>
  <c r="U29" i="110"/>
  <c r="T72" i="109"/>
  <c r="T64" i="109"/>
  <c r="T49" i="109"/>
  <c r="W16" i="109"/>
  <c r="W31" i="109"/>
  <c r="U18" i="107"/>
  <c r="U26" i="107"/>
  <c r="U34" i="107"/>
  <c r="U38" i="107"/>
  <c r="U15" i="107"/>
  <c r="U22" i="107"/>
  <c r="U31" i="107"/>
  <c r="U17" i="107"/>
  <c r="U27" i="107"/>
  <c r="U33" i="107"/>
  <c r="U32" i="107"/>
  <c r="U23" i="107"/>
  <c r="U16" i="107"/>
  <c r="U21" i="107"/>
  <c r="U29" i="107"/>
  <c r="U28" i="107"/>
  <c r="U25" i="107"/>
  <c r="U20" i="107"/>
  <c r="X14" i="107"/>
  <c r="U24" i="107"/>
  <c r="U30" i="107"/>
  <c r="U35" i="107"/>
  <c r="U39" i="107"/>
  <c r="U19" i="107"/>
  <c r="U36" i="107"/>
  <c r="U37" i="107"/>
  <c r="U28" i="104"/>
  <c r="U21" i="104"/>
  <c r="U34" i="104"/>
  <c r="U26" i="104"/>
  <c r="U19" i="104"/>
  <c r="U18" i="104"/>
  <c r="U29" i="104"/>
  <c r="U22" i="104"/>
  <c r="U27" i="104"/>
  <c r="U35" i="104"/>
  <c r="U33" i="104"/>
  <c r="U16" i="104"/>
  <c r="U17" i="104"/>
  <c r="U15" i="104"/>
  <c r="U23" i="104"/>
  <c r="U36" i="104"/>
  <c r="T46" i="104"/>
  <c r="U37" i="104"/>
  <c r="U39" i="104"/>
  <c r="U25" i="104"/>
  <c r="X14" i="104"/>
  <c r="T47" i="104"/>
  <c r="U20" i="104"/>
  <c r="U24" i="104"/>
  <c r="U30" i="104"/>
  <c r="U38" i="104"/>
  <c r="U31" i="104"/>
  <c r="U32" i="104"/>
  <c r="X14" i="99"/>
  <c r="U37" i="99"/>
  <c r="U34" i="99"/>
  <c r="U25" i="99"/>
  <c r="U30" i="99"/>
  <c r="U15" i="99"/>
  <c r="U20" i="99"/>
  <c r="U26" i="99"/>
  <c r="U16" i="99"/>
  <c r="U19" i="99"/>
  <c r="U29" i="99"/>
  <c r="U36" i="99"/>
  <c r="U38" i="99"/>
  <c r="U22" i="99"/>
  <c r="U23" i="99"/>
  <c r="T46" i="99"/>
  <c r="T47" i="99"/>
  <c r="U28" i="99"/>
  <c r="U39" i="99"/>
  <c r="U17" i="99"/>
  <c r="U27" i="99"/>
  <c r="U18" i="99"/>
  <c r="U33" i="99"/>
  <c r="U31" i="99"/>
  <c r="U32" i="99"/>
  <c r="U24" i="99"/>
  <c r="U35" i="99"/>
  <c r="U21" i="99"/>
  <c r="U22" i="97"/>
  <c r="U38" i="97"/>
  <c r="U28" i="97"/>
  <c r="U33" i="97"/>
  <c r="U20" i="97"/>
  <c r="U30" i="97"/>
  <c r="U29" i="97"/>
  <c r="U23" i="97"/>
  <c r="U39" i="97"/>
  <c r="U31" i="97"/>
  <c r="U15" i="97"/>
  <c r="U24" i="97"/>
  <c r="U16" i="97"/>
  <c r="U37" i="97"/>
  <c r="U36" i="97"/>
  <c r="U26" i="97"/>
  <c r="U32" i="97"/>
  <c r="U19" i="97"/>
  <c r="U27" i="97"/>
  <c r="U21" i="97"/>
  <c r="T49" i="90"/>
  <c r="T58" i="90"/>
  <c r="W21" i="90"/>
  <c r="W36" i="90"/>
  <c r="W15" i="90"/>
  <c r="T97" i="87"/>
  <c r="J112" i="45"/>
  <c r="J104" i="45"/>
  <c r="K73" i="45"/>
  <c r="K100" i="45"/>
  <c r="I73" i="45"/>
  <c r="I100" i="45"/>
  <c r="R31" i="44"/>
  <c r="B32" i="44" s="1"/>
  <c r="U6" i="44" s="1"/>
  <c r="V6" i="44" s="1"/>
  <c r="H57" i="44"/>
  <c r="B30" i="44"/>
  <c r="B29" i="44"/>
  <c r="C32" i="44"/>
  <c r="U10" i="44" s="1"/>
  <c r="V10" i="44" s="1"/>
  <c r="H113" i="44"/>
  <c r="H107" i="44"/>
  <c r="H100" i="44"/>
  <c r="H92" i="44"/>
  <c r="H85" i="44"/>
  <c r="H79" i="44"/>
  <c r="H71" i="44"/>
  <c r="H64" i="44"/>
  <c r="C31" i="44"/>
  <c r="U8" i="44" s="1"/>
  <c r="V8" i="44" s="1"/>
  <c r="H112" i="44"/>
  <c r="H105" i="44"/>
  <c r="H97" i="44"/>
  <c r="H91" i="44"/>
  <c r="H84" i="44"/>
  <c r="H76" i="44"/>
  <c r="H69" i="44"/>
  <c r="H63" i="44"/>
  <c r="R28" i="44"/>
  <c r="H111" i="44"/>
  <c r="H103" i="44"/>
  <c r="H96" i="44"/>
  <c r="H89" i="44"/>
  <c r="H81" i="44"/>
  <c r="H75" i="44"/>
  <c r="H68" i="44"/>
  <c r="H108" i="44"/>
  <c r="H101" i="44"/>
  <c r="H95" i="44"/>
  <c r="H87" i="44"/>
  <c r="H80" i="44"/>
  <c r="H73" i="44"/>
  <c r="H65" i="44"/>
  <c r="H72" i="44"/>
  <c r="H93" i="44"/>
  <c r="B28" i="44"/>
  <c r="H66" i="44"/>
  <c r="H82" i="44"/>
  <c r="H98" i="44"/>
  <c r="H106" i="44"/>
  <c r="H77" i="44"/>
  <c r="H99" i="44"/>
  <c r="H70" i="44"/>
  <c r="H86" i="44"/>
  <c r="H102" i="44"/>
  <c r="B27" i="44"/>
  <c r="H83" i="44"/>
  <c r="H74" i="44"/>
  <c r="H67" i="44"/>
  <c r="H88" i="44"/>
  <c r="H109" i="44"/>
  <c r="H78" i="44"/>
  <c r="H94" i="44"/>
  <c r="H110" i="44"/>
  <c r="R30" i="44"/>
  <c r="B31" i="44" s="1"/>
  <c r="U4" i="44" s="1"/>
  <c r="V4" i="44" s="1"/>
  <c r="H104" i="44"/>
  <c r="H90" i="44"/>
  <c r="R29" i="44"/>
  <c r="B38" i="44"/>
  <c r="T94" i="119"/>
  <c r="T95" i="119"/>
  <c r="W38" i="119"/>
  <c r="T80" i="119"/>
  <c r="W31" i="119"/>
  <c r="T81" i="119"/>
  <c r="I76" i="119"/>
  <c r="K76" i="119"/>
  <c r="J76" i="119"/>
  <c r="I72" i="119"/>
  <c r="K72" i="119"/>
  <c r="J72" i="119"/>
  <c r="I112" i="119"/>
  <c r="K112" i="119"/>
  <c r="J112" i="119"/>
  <c r="I64" i="119"/>
  <c r="K64" i="119"/>
  <c r="J64" i="119"/>
  <c r="J83" i="119"/>
  <c r="I83" i="119"/>
  <c r="K83" i="119"/>
  <c r="K65" i="119"/>
  <c r="I65" i="119"/>
  <c r="J65" i="119"/>
  <c r="K82" i="119"/>
  <c r="J82" i="119"/>
  <c r="I82" i="119"/>
  <c r="K90" i="119"/>
  <c r="J90" i="119"/>
  <c r="I90" i="119"/>
  <c r="K106" i="119"/>
  <c r="I106" i="119"/>
  <c r="J106" i="119"/>
  <c r="J101" i="119"/>
  <c r="K101" i="119"/>
  <c r="I101" i="119"/>
  <c r="K69" i="119"/>
  <c r="I69" i="119"/>
  <c r="J69" i="119"/>
  <c r="I85" i="119"/>
  <c r="J85" i="119"/>
  <c r="K85" i="119"/>
  <c r="J99" i="119"/>
  <c r="I99" i="119"/>
  <c r="K99" i="119"/>
  <c r="T92" i="119"/>
  <c r="T93" i="119"/>
  <c r="W37" i="119"/>
  <c r="T96" i="119"/>
  <c r="T97" i="119"/>
  <c r="W39" i="119"/>
  <c r="T48" i="119"/>
  <c r="T49" i="119"/>
  <c r="V16" i="119" a="1"/>
  <c r="W15" i="119"/>
  <c r="V15" i="119"/>
  <c r="X15" i="119" s="1"/>
  <c r="W18" i="119"/>
  <c r="T55" i="119"/>
  <c r="T54" i="119"/>
  <c r="T56" i="119"/>
  <c r="T57" i="119"/>
  <c r="W19" i="119"/>
  <c r="T90" i="119"/>
  <c r="T91" i="119"/>
  <c r="W36" i="119"/>
  <c r="J58" i="119"/>
  <c r="U4" i="119"/>
  <c r="V4" i="119" s="1"/>
  <c r="J57" i="119"/>
  <c r="I80" i="119"/>
  <c r="K80" i="119"/>
  <c r="J80" i="119"/>
  <c r="J71" i="119"/>
  <c r="I71" i="119"/>
  <c r="K71" i="119"/>
  <c r="I88" i="119"/>
  <c r="J88" i="119"/>
  <c r="K88" i="119"/>
  <c r="K70" i="119"/>
  <c r="I70" i="119"/>
  <c r="J70" i="119"/>
  <c r="I92" i="119"/>
  <c r="K92" i="119"/>
  <c r="J92" i="119"/>
  <c r="K94" i="119"/>
  <c r="I94" i="119"/>
  <c r="J94" i="119"/>
  <c r="K110" i="119"/>
  <c r="I110" i="119"/>
  <c r="J110" i="119"/>
  <c r="J105" i="119"/>
  <c r="K105" i="119"/>
  <c r="I105" i="119"/>
  <c r="K73" i="119"/>
  <c r="I73" i="119"/>
  <c r="J73" i="119"/>
  <c r="I89" i="119"/>
  <c r="J89" i="119"/>
  <c r="K89" i="119"/>
  <c r="J103" i="119"/>
  <c r="I103" i="119"/>
  <c r="K103" i="119"/>
  <c r="T70" i="119"/>
  <c r="T71" i="119"/>
  <c r="W26" i="119"/>
  <c r="T76" i="119"/>
  <c r="T77" i="119"/>
  <c r="W29" i="119"/>
  <c r="T58" i="119"/>
  <c r="T59" i="119"/>
  <c r="W20" i="119"/>
  <c r="T72" i="119"/>
  <c r="W27" i="119"/>
  <c r="T73" i="119"/>
  <c r="T52" i="119"/>
  <c r="T53" i="119"/>
  <c r="W17" i="119"/>
  <c r="T63" i="119"/>
  <c r="T62" i="119"/>
  <c r="W22" i="119"/>
  <c r="W21" i="119"/>
  <c r="K58" i="119"/>
  <c r="K57" i="119"/>
  <c r="B33" i="119"/>
  <c r="U6" i="119"/>
  <c r="V6" i="119" s="1"/>
  <c r="K66" i="119"/>
  <c r="J66" i="119"/>
  <c r="I66" i="119"/>
  <c r="I84" i="119"/>
  <c r="K84" i="119"/>
  <c r="J84" i="119"/>
  <c r="J75" i="119"/>
  <c r="I75" i="119"/>
  <c r="K75" i="119"/>
  <c r="I100" i="119"/>
  <c r="K100" i="119"/>
  <c r="J100" i="119"/>
  <c r="K74" i="119"/>
  <c r="I74" i="119"/>
  <c r="J74" i="119"/>
  <c r="I96" i="119"/>
  <c r="K96" i="119"/>
  <c r="J96" i="119"/>
  <c r="K98" i="119"/>
  <c r="I98" i="119"/>
  <c r="J98" i="119"/>
  <c r="J91" i="119"/>
  <c r="K91" i="119"/>
  <c r="I91" i="119"/>
  <c r="J109" i="119"/>
  <c r="K109" i="119"/>
  <c r="I109" i="119"/>
  <c r="K77" i="119"/>
  <c r="I77" i="119"/>
  <c r="J77" i="119"/>
  <c r="J93" i="119"/>
  <c r="I93" i="119"/>
  <c r="K93" i="119"/>
  <c r="J107" i="119"/>
  <c r="I107" i="119"/>
  <c r="K107" i="119"/>
  <c r="W28" i="119"/>
  <c r="T88" i="119"/>
  <c r="T89" i="119"/>
  <c r="W35" i="119"/>
  <c r="T82" i="119"/>
  <c r="T83" i="119"/>
  <c r="W32" i="119"/>
  <c r="T86" i="119"/>
  <c r="T87" i="119"/>
  <c r="W34" i="119"/>
  <c r="T64" i="119"/>
  <c r="W23" i="119"/>
  <c r="T65" i="119"/>
  <c r="I68" i="119"/>
  <c r="K68" i="119"/>
  <c r="J68" i="119"/>
  <c r="J63" i="119"/>
  <c r="I63" i="119"/>
  <c r="K63" i="119"/>
  <c r="J67" i="119"/>
  <c r="I67" i="119"/>
  <c r="K67" i="119"/>
  <c r="I104" i="119"/>
  <c r="K104" i="119"/>
  <c r="J104" i="119"/>
  <c r="J87" i="119"/>
  <c r="K87" i="119"/>
  <c r="I87" i="119"/>
  <c r="J79" i="119"/>
  <c r="I79" i="119"/>
  <c r="K79" i="119"/>
  <c r="I108" i="119"/>
  <c r="K108" i="119"/>
  <c r="J108" i="119"/>
  <c r="K78" i="119"/>
  <c r="I78" i="119"/>
  <c r="J78" i="119"/>
  <c r="K86" i="119"/>
  <c r="J86" i="119"/>
  <c r="I86" i="119"/>
  <c r="K102" i="119"/>
  <c r="I102" i="119"/>
  <c r="J102" i="119"/>
  <c r="J95" i="119"/>
  <c r="K95" i="119"/>
  <c r="I95" i="119"/>
  <c r="J113" i="119"/>
  <c r="K113" i="119"/>
  <c r="I113" i="119"/>
  <c r="K81" i="119"/>
  <c r="J81" i="119"/>
  <c r="I81" i="119"/>
  <c r="J97" i="119"/>
  <c r="I97" i="119"/>
  <c r="K97" i="119"/>
  <c r="J111" i="119"/>
  <c r="I111" i="119"/>
  <c r="K111" i="119"/>
  <c r="T76" i="118"/>
  <c r="T77" i="118"/>
  <c r="W29" i="118"/>
  <c r="K70" i="118"/>
  <c r="J70" i="118"/>
  <c r="I70" i="118"/>
  <c r="K86" i="118"/>
  <c r="J86" i="118"/>
  <c r="I86" i="118"/>
  <c r="I100" i="118"/>
  <c r="K100" i="118"/>
  <c r="J100" i="118"/>
  <c r="I108" i="118"/>
  <c r="K108" i="118"/>
  <c r="J108" i="118"/>
  <c r="I67" i="118"/>
  <c r="J67" i="118"/>
  <c r="K67" i="118"/>
  <c r="I80" i="118"/>
  <c r="J80" i="118"/>
  <c r="K80" i="118"/>
  <c r="K64" i="118"/>
  <c r="I64" i="118"/>
  <c r="J64" i="118"/>
  <c r="J83" i="118"/>
  <c r="K83" i="118"/>
  <c r="I83" i="118"/>
  <c r="J95" i="118"/>
  <c r="K95" i="118"/>
  <c r="I95" i="118"/>
  <c r="J113" i="118"/>
  <c r="K113" i="118"/>
  <c r="I113" i="118"/>
  <c r="K81" i="118"/>
  <c r="J81" i="118"/>
  <c r="I81" i="118"/>
  <c r="J97" i="118"/>
  <c r="K97" i="118"/>
  <c r="I97" i="118"/>
  <c r="J111" i="118"/>
  <c r="K111" i="118"/>
  <c r="I111" i="118"/>
  <c r="T94" i="118"/>
  <c r="T95" i="118"/>
  <c r="W38" i="118"/>
  <c r="T91" i="118"/>
  <c r="W36" i="118"/>
  <c r="T90" i="118"/>
  <c r="T96" i="118"/>
  <c r="T97" i="118"/>
  <c r="W39" i="118"/>
  <c r="J58" i="118"/>
  <c r="J57" i="118"/>
  <c r="U4" i="118"/>
  <c r="V4" i="118" s="1"/>
  <c r="K74" i="118"/>
  <c r="J74" i="118"/>
  <c r="I74" i="118"/>
  <c r="K90" i="118"/>
  <c r="J90" i="118"/>
  <c r="I90" i="118"/>
  <c r="K102" i="118"/>
  <c r="I102" i="118"/>
  <c r="J102" i="118"/>
  <c r="K110" i="118"/>
  <c r="I110" i="118"/>
  <c r="J110" i="118"/>
  <c r="I68" i="118"/>
  <c r="J68" i="118"/>
  <c r="K68" i="118"/>
  <c r="I84" i="118"/>
  <c r="J84" i="118"/>
  <c r="K84" i="118"/>
  <c r="J71" i="118"/>
  <c r="I71" i="118"/>
  <c r="K71" i="118"/>
  <c r="J87" i="118"/>
  <c r="K87" i="118"/>
  <c r="I87" i="118"/>
  <c r="J101" i="118"/>
  <c r="K101" i="118"/>
  <c r="I101" i="118"/>
  <c r="K69" i="118"/>
  <c r="J69" i="118"/>
  <c r="I69" i="118"/>
  <c r="K85" i="118"/>
  <c r="J85" i="118"/>
  <c r="I85" i="118"/>
  <c r="J99" i="118"/>
  <c r="K99" i="118"/>
  <c r="I99" i="118"/>
  <c r="T92" i="118"/>
  <c r="T93" i="118"/>
  <c r="W37" i="118"/>
  <c r="T50" i="118"/>
  <c r="T51" i="118"/>
  <c r="W16" i="118"/>
  <c r="T75" i="118"/>
  <c r="T74" i="118"/>
  <c r="W28" i="118"/>
  <c r="T71" i="118"/>
  <c r="T70" i="118"/>
  <c r="W26" i="118"/>
  <c r="J66" i="118"/>
  <c r="I66" i="118"/>
  <c r="K66" i="118"/>
  <c r="K57" i="118"/>
  <c r="K58" i="118"/>
  <c r="U6" i="118"/>
  <c r="V6" i="118" s="1"/>
  <c r="B33" i="118"/>
  <c r="K78" i="118"/>
  <c r="J78" i="118"/>
  <c r="I78" i="118"/>
  <c r="K94" i="118"/>
  <c r="J94" i="118"/>
  <c r="I94" i="118"/>
  <c r="I104" i="118"/>
  <c r="K104" i="118"/>
  <c r="J104" i="118"/>
  <c r="I112" i="118"/>
  <c r="K112" i="118"/>
  <c r="J112" i="118"/>
  <c r="I72" i="118"/>
  <c r="J72" i="118"/>
  <c r="K72" i="118"/>
  <c r="I88" i="118"/>
  <c r="J88" i="118"/>
  <c r="K88" i="118"/>
  <c r="J75" i="118"/>
  <c r="I75" i="118"/>
  <c r="K75" i="118"/>
  <c r="J91" i="118"/>
  <c r="K91" i="118"/>
  <c r="I91" i="118"/>
  <c r="J105" i="118"/>
  <c r="K105" i="118"/>
  <c r="I105" i="118"/>
  <c r="K73" i="118"/>
  <c r="J73" i="118"/>
  <c r="I73" i="118"/>
  <c r="K89" i="118"/>
  <c r="J89" i="118"/>
  <c r="I89" i="118"/>
  <c r="J103" i="118"/>
  <c r="K103" i="118"/>
  <c r="I103" i="118"/>
  <c r="T84" i="118"/>
  <c r="T85" i="118"/>
  <c r="W33" i="118"/>
  <c r="T72" i="118"/>
  <c r="T73" i="118"/>
  <c r="W27" i="118"/>
  <c r="T83" i="118"/>
  <c r="T82" i="118"/>
  <c r="W32" i="118"/>
  <c r="K65" i="118"/>
  <c r="J65" i="118"/>
  <c r="I65" i="118"/>
  <c r="K82" i="118"/>
  <c r="J82" i="118"/>
  <c r="I82" i="118"/>
  <c r="K98" i="118"/>
  <c r="I98" i="118"/>
  <c r="J98" i="118"/>
  <c r="K106" i="118"/>
  <c r="I106" i="118"/>
  <c r="J106" i="118"/>
  <c r="I63" i="118"/>
  <c r="J63" i="118"/>
  <c r="K63" i="118"/>
  <c r="I76" i="118"/>
  <c r="J76" i="118"/>
  <c r="K76" i="118"/>
  <c r="I92" i="118"/>
  <c r="J92" i="118"/>
  <c r="K92" i="118"/>
  <c r="J79" i="118"/>
  <c r="I79" i="118"/>
  <c r="K79" i="118"/>
  <c r="I96" i="118"/>
  <c r="K96" i="118"/>
  <c r="J96" i="118"/>
  <c r="J109" i="118"/>
  <c r="K109" i="118"/>
  <c r="I109" i="118"/>
  <c r="K77" i="118"/>
  <c r="J77" i="118"/>
  <c r="I77" i="118"/>
  <c r="K93" i="118"/>
  <c r="J93" i="118"/>
  <c r="I93" i="118"/>
  <c r="J107" i="118"/>
  <c r="K107" i="118"/>
  <c r="I107" i="118"/>
  <c r="W30" i="118"/>
  <c r="T49" i="118"/>
  <c r="V16" i="118" a="1"/>
  <c r="T48" i="118"/>
  <c r="W15" i="118"/>
  <c r="V15" i="118"/>
  <c r="X15" i="118" s="1"/>
  <c r="T53" i="118"/>
  <c r="T52" i="118"/>
  <c r="W17" i="118"/>
  <c r="K63" i="117"/>
  <c r="J63" i="117"/>
  <c r="I63" i="117"/>
  <c r="I67" i="117"/>
  <c r="K67" i="117"/>
  <c r="J67" i="117"/>
  <c r="K74" i="117"/>
  <c r="I74" i="117"/>
  <c r="J74" i="117"/>
  <c r="K82" i="117"/>
  <c r="I82" i="117"/>
  <c r="J82" i="117"/>
  <c r="K90" i="117"/>
  <c r="I90" i="117"/>
  <c r="J90" i="117"/>
  <c r="J66" i="117"/>
  <c r="K66" i="117"/>
  <c r="I66" i="117"/>
  <c r="I100" i="117"/>
  <c r="J100" i="117"/>
  <c r="K100" i="117"/>
  <c r="J75" i="117"/>
  <c r="K75" i="117"/>
  <c r="I75" i="117"/>
  <c r="J91" i="117"/>
  <c r="K91" i="117"/>
  <c r="I91" i="117"/>
  <c r="K110" i="117"/>
  <c r="I110" i="117"/>
  <c r="J110" i="117"/>
  <c r="K73" i="117"/>
  <c r="I73" i="117"/>
  <c r="J73" i="117"/>
  <c r="K89" i="117"/>
  <c r="I89" i="117"/>
  <c r="J89" i="117"/>
  <c r="I103" i="117"/>
  <c r="K103" i="117"/>
  <c r="J103" i="117"/>
  <c r="T87" i="117"/>
  <c r="W34" i="117"/>
  <c r="T86" i="117"/>
  <c r="T92" i="117"/>
  <c r="T93" i="117"/>
  <c r="W37" i="117"/>
  <c r="T55" i="117"/>
  <c r="T54" i="117"/>
  <c r="W18" i="117"/>
  <c r="W15" i="117"/>
  <c r="T48" i="117"/>
  <c r="V15" i="117"/>
  <c r="X15" i="117" s="1"/>
  <c r="T49" i="117"/>
  <c r="V16" i="117" a="1"/>
  <c r="J64" i="117"/>
  <c r="K64" i="117"/>
  <c r="I64" i="117"/>
  <c r="U4" i="117"/>
  <c r="V4" i="117" s="1"/>
  <c r="J57" i="117"/>
  <c r="J58" i="117"/>
  <c r="I112" i="117"/>
  <c r="K112" i="117"/>
  <c r="J112" i="117"/>
  <c r="I68" i="117"/>
  <c r="J68" i="117"/>
  <c r="K68" i="117"/>
  <c r="I76" i="117"/>
  <c r="J76" i="117"/>
  <c r="K76" i="117"/>
  <c r="I84" i="117"/>
  <c r="J84" i="117"/>
  <c r="K84" i="117"/>
  <c r="I92" i="117"/>
  <c r="J92" i="117"/>
  <c r="K92" i="117"/>
  <c r="J101" i="117"/>
  <c r="K101" i="117"/>
  <c r="I101" i="117"/>
  <c r="I104" i="117"/>
  <c r="J104" i="117"/>
  <c r="K104" i="117"/>
  <c r="J79" i="117"/>
  <c r="K79" i="117"/>
  <c r="I79" i="117"/>
  <c r="J95" i="117"/>
  <c r="K95" i="117"/>
  <c r="I95" i="117"/>
  <c r="J109" i="117"/>
  <c r="K109" i="117"/>
  <c r="I109" i="117"/>
  <c r="K77" i="117"/>
  <c r="I77" i="117"/>
  <c r="J77" i="117"/>
  <c r="K93" i="117"/>
  <c r="I93" i="117"/>
  <c r="J93" i="117"/>
  <c r="J107" i="117"/>
  <c r="I107" i="117"/>
  <c r="K107" i="117"/>
  <c r="T61" i="117"/>
  <c r="T60" i="117"/>
  <c r="W21" i="117"/>
  <c r="T59" i="117"/>
  <c r="W20" i="117"/>
  <c r="T58" i="117"/>
  <c r="T72" i="117"/>
  <c r="T73" i="117"/>
  <c r="W27" i="117"/>
  <c r="K98" i="117"/>
  <c r="J98" i="117"/>
  <c r="I98" i="117"/>
  <c r="K57" i="117"/>
  <c r="K58" i="117"/>
  <c r="B33" i="117"/>
  <c r="U6" i="117"/>
  <c r="V6" i="117" s="1"/>
  <c r="K70" i="117"/>
  <c r="I70" i="117"/>
  <c r="J70" i="117"/>
  <c r="K78" i="117"/>
  <c r="I78" i="117"/>
  <c r="J78" i="117"/>
  <c r="K86" i="117"/>
  <c r="I86" i="117"/>
  <c r="J86" i="117"/>
  <c r="K94" i="117"/>
  <c r="J94" i="117"/>
  <c r="I94" i="117"/>
  <c r="J105" i="117"/>
  <c r="K105" i="117"/>
  <c r="I105" i="117"/>
  <c r="I108" i="117"/>
  <c r="K108" i="117"/>
  <c r="J108" i="117"/>
  <c r="J83" i="117"/>
  <c r="K83" i="117"/>
  <c r="I83" i="117"/>
  <c r="K102" i="117"/>
  <c r="J102" i="117"/>
  <c r="I102" i="117"/>
  <c r="J113" i="117"/>
  <c r="K113" i="117"/>
  <c r="I113" i="117"/>
  <c r="K81" i="117"/>
  <c r="I81" i="117"/>
  <c r="J81" i="117"/>
  <c r="K97" i="117"/>
  <c r="J97" i="117"/>
  <c r="I97" i="117"/>
  <c r="J111" i="117"/>
  <c r="I111" i="117"/>
  <c r="K111" i="117"/>
  <c r="T79" i="117"/>
  <c r="W30" i="117"/>
  <c r="T78" i="117"/>
  <c r="T57" i="117"/>
  <c r="T56" i="117"/>
  <c r="W19" i="117"/>
  <c r="W17" i="117"/>
  <c r="T53" i="117"/>
  <c r="T52" i="117"/>
  <c r="I72" i="117"/>
  <c r="J72" i="117"/>
  <c r="K72" i="117"/>
  <c r="I80" i="117"/>
  <c r="J80" i="117"/>
  <c r="K80" i="117"/>
  <c r="I88" i="117"/>
  <c r="J88" i="117"/>
  <c r="K88" i="117"/>
  <c r="I65" i="117"/>
  <c r="K65" i="117"/>
  <c r="J65" i="117"/>
  <c r="I96" i="117"/>
  <c r="J96" i="117"/>
  <c r="K96" i="117"/>
  <c r="J71" i="117"/>
  <c r="K71" i="117"/>
  <c r="I71" i="117"/>
  <c r="J87" i="117"/>
  <c r="K87" i="117"/>
  <c r="I87" i="117"/>
  <c r="K106" i="117"/>
  <c r="I106" i="117"/>
  <c r="J106" i="117"/>
  <c r="K69" i="117"/>
  <c r="I69" i="117"/>
  <c r="J69" i="117"/>
  <c r="K85" i="117"/>
  <c r="I85" i="117"/>
  <c r="J85" i="117"/>
  <c r="I99" i="117"/>
  <c r="K99" i="117"/>
  <c r="J99" i="117"/>
  <c r="T65" i="117"/>
  <c r="W23" i="117"/>
  <c r="T64" i="117"/>
  <c r="T84" i="117"/>
  <c r="T85" i="117"/>
  <c r="W33" i="117"/>
  <c r="T91" i="117"/>
  <c r="W36" i="117"/>
  <c r="T90" i="117"/>
  <c r="U48" i="116"/>
  <c r="U47" i="116"/>
  <c r="K70" i="116"/>
  <c r="J70" i="116"/>
  <c r="I70" i="116"/>
  <c r="K57" i="116"/>
  <c r="B33" i="116"/>
  <c r="K58" i="116"/>
  <c r="U6" i="116"/>
  <c r="V6" i="116" s="1"/>
  <c r="K64" i="116"/>
  <c r="I64" i="116"/>
  <c r="J64" i="116"/>
  <c r="J83" i="116"/>
  <c r="I83" i="116"/>
  <c r="K83" i="116"/>
  <c r="K98" i="116"/>
  <c r="I98" i="116"/>
  <c r="J98" i="116"/>
  <c r="I112" i="116"/>
  <c r="K112" i="116"/>
  <c r="J112" i="116"/>
  <c r="K86" i="116"/>
  <c r="J86" i="116"/>
  <c r="I86" i="116"/>
  <c r="I68" i="116"/>
  <c r="J68" i="116"/>
  <c r="K68" i="116"/>
  <c r="I84" i="116"/>
  <c r="K84" i="116"/>
  <c r="J84" i="116"/>
  <c r="J91" i="116"/>
  <c r="I91" i="116"/>
  <c r="K91" i="116"/>
  <c r="J109" i="116"/>
  <c r="K109" i="116"/>
  <c r="I109" i="116"/>
  <c r="J77" i="116"/>
  <c r="K77" i="116"/>
  <c r="I77" i="116"/>
  <c r="J93" i="116"/>
  <c r="I93" i="116"/>
  <c r="K93" i="116"/>
  <c r="J107" i="116"/>
  <c r="I107" i="116"/>
  <c r="K107" i="116"/>
  <c r="J58" i="116"/>
  <c r="J57" i="116"/>
  <c r="U4" i="116"/>
  <c r="V4" i="116" s="1"/>
  <c r="J71" i="116"/>
  <c r="I71" i="116"/>
  <c r="K71" i="116"/>
  <c r="J87" i="116"/>
  <c r="I87" i="116"/>
  <c r="K87" i="116"/>
  <c r="I100" i="116"/>
  <c r="K100" i="116"/>
  <c r="J100" i="116"/>
  <c r="K74" i="116"/>
  <c r="J74" i="116"/>
  <c r="I74" i="116"/>
  <c r="I108" i="116"/>
  <c r="K108" i="116"/>
  <c r="J108" i="116"/>
  <c r="I72" i="116"/>
  <c r="K72" i="116"/>
  <c r="J72" i="116"/>
  <c r="I88" i="116"/>
  <c r="K88" i="116"/>
  <c r="J88" i="116"/>
  <c r="J95" i="116"/>
  <c r="I95" i="116"/>
  <c r="K95" i="116"/>
  <c r="J113" i="116"/>
  <c r="K113" i="116"/>
  <c r="I113" i="116"/>
  <c r="J81" i="116"/>
  <c r="K81" i="116"/>
  <c r="I81" i="116"/>
  <c r="J97" i="116"/>
  <c r="I97" i="116"/>
  <c r="K97" i="116"/>
  <c r="J111" i="116"/>
  <c r="I111" i="116"/>
  <c r="K111" i="116"/>
  <c r="V37" i="116"/>
  <c r="X37" i="116" s="1"/>
  <c r="V33" i="116"/>
  <c r="X33" i="116" s="1"/>
  <c r="V29" i="116"/>
  <c r="X29" i="116" s="1"/>
  <c r="V25" i="116"/>
  <c r="X25" i="116" s="1"/>
  <c r="V21" i="116"/>
  <c r="X21" i="116" s="1"/>
  <c r="V17" i="116"/>
  <c r="X17" i="116" s="1"/>
  <c r="V40" i="116"/>
  <c r="X40" i="116" s="1"/>
  <c r="U97" i="116" s="1"/>
  <c r="V36" i="116"/>
  <c r="X36" i="116" s="1"/>
  <c r="V32" i="116"/>
  <c r="X32" i="116" s="1"/>
  <c r="V28" i="116"/>
  <c r="X28" i="116" s="1"/>
  <c r="V24" i="116"/>
  <c r="X24" i="116" s="1"/>
  <c r="V20" i="116"/>
  <c r="X20" i="116" s="1"/>
  <c r="V16" i="116"/>
  <c r="X16" i="116" s="1"/>
  <c r="V39" i="116"/>
  <c r="X39" i="116" s="1"/>
  <c r="V35" i="116"/>
  <c r="X35" i="116" s="1"/>
  <c r="V31" i="116"/>
  <c r="X31" i="116" s="1"/>
  <c r="V27" i="116"/>
  <c r="X27" i="116" s="1"/>
  <c r="V23" i="116"/>
  <c r="X23" i="116" s="1"/>
  <c r="V19" i="116"/>
  <c r="X19" i="116" s="1"/>
  <c r="V38" i="116"/>
  <c r="X38" i="116" s="1"/>
  <c r="V34" i="116"/>
  <c r="X34" i="116" s="1"/>
  <c r="V30" i="116"/>
  <c r="X30" i="116" s="1"/>
  <c r="V26" i="116"/>
  <c r="X26" i="116" s="1"/>
  <c r="V22" i="116"/>
  <c r="X22" i="116" s="1"/>
  <c r="V18" i="116"/>
  <c r="X18" i="116" s="1"/>
  <c r="J65" i="116"/>
  <c r="K65" i="116"/>
  <c r="I65" i="116"/>
  <c r="I92" i="116"/>
  <c r="K92" i="116"/>
  <c r="J92" i="116"/>
  <c r="J75" i="116"/>
  <c r="I75" i="116"/>
  <c r="K75" i="116"/>
  <c r="K90" i="116"/>
  <c r="I90" i="116"/>
  <c r="J90" i="116"/>
  <c r="K102" i="116"/>
  <c r="I102" i="116"/>
  <c r="J102" i="116"/>
  <c r="K78" i="116"/>
  <c r="J78" i="116"/>
  <c r="I78" i="116"/>
  <c r="I63" i="116"/>
  <c r="K63" i="116"/>
  <c r="J63" i="116"/>
  <c r="I76" i="116"/>
  <c r="K76" i="116"/>
  <c r="J76" i="116"/>
  <c r="K106" i="116"/>
  <c r="I106" i="116"/>
  <c r="J106" i="116"/>
  <c r="J101" i="116"/>
  <c r="K101" i="116"/>
  <c r="I101" i="116"/>
  <c r="J69" i="116"/>
  <c r="K69" i="116"/>
  <c r="I69" i="116"/>
  <c r="J85" i="116"/>
  <c r="K85" i="116"/>
  <c r="I85" i="116"/>
  <c r="J99" i="116"/>
  <c r="K99" i="116"/>
  <c r="I99" i="116"/>
  <c r="I66" i="116"/>
  <c r="J66" i="116"/>
  <c r="K66" i="116"/>
  <c r="I96" i="116"/>
  <c r="K96" i="116"/>
  <c r="J96" i="116"/>
  <c r="J79" i="116"/>
  <c r="I79" i="116"/>
  <c r="K79" i="116"/>
  <c r="K94" i="116"/>
  <c r="I94" i="116"/>
  <c r="J94" i="116"/>
  <c r="I104" i="116"/>
  <c r="K104" i="116"/>
  <c r="J104" i="116"/>
  <c r="K82" i="116"/>
  <c r="J82" i="116"/>
  <c r="I82" i="116"/>
  <c r="I67" i="116"/>
  <c r="K67" i="116"/>
  <c r="J67" i="116"/>
  <c r="I80" i="116"/>
  <c r="K80" i="116"/>
  <c r="J80" i="116"/>
  <c r="K110" i="116"/>
  <c r="I110" i="116"/>
  <c r="J110" i="116"/>
  <c r="J105" i="116"/>
  <c r="K105" i="116"/>
  <c r="I105" i="116"/>
  <c r="J73" i="116"/>
  <c r="K73" i="116"/>
  <c r="I73" i="116"/>
  <c r="J89" i="116"/>
  <c r="K89" i="116"/>
  <c r="I89" i="116"/>
  <c r="J103" i="116"/>
  <c r="K103" i="116"/>
  <c r="I103" i="116"/>
  <c r="I71" i="115"/>
  <c r="K71" i="115"/>
  <c r="J71" i="115"/>
  <c r="J63" i="115"/>
  <c r="I63" i="115"/>
  <c r="K63" i="115"/>
  <c r="J58" i="115"/>
  <c r="J57" i="115"/>
  <c r="U4" i="115"/>
  <c r="V4" i="115" s="1"/>
  <c r="I83" i="115"/>
  <c r="K83" i="115"/>
  <c r="J83" i="115"/>
  <c r="K99" i="115"/>
  <c r="J99" i="115"/>
  <c r="I99" i="115"/>
  <c r="J70" i="115"/>
  <c r="I70" i="115"/>
  <c r="K70" i="115"/>
  <c r="J86" i="115"/>
  <c r="I86" i="115"/>
  <c r="K86" i="115"/>
  <c r="J102" i="115"/>
  <c r="I102" i="115"/>
  <c r="K102" i="115"/>
  <c r="K69" i="115"/>
  <c r="I69" i="115"/>
  <c r="J69" i="115"/>
  <c r="K85" i="115"/>
  <c r="J85" i="115"/>
  <c r="I85" i="115"/>
  <c r="I101" i="115"/>
  <c r="K101" i="115"/>
  <c r="J101" i="115"/>
  <c r="K68" i="115"/>
  <c r="I68" i="115"/>
  <c r="J68" i="115"/>
  <c r="K84" i="115"/>
  <c r="J84" i="115"/>
  <c r="I84" i="115"/>
  <c r="K100" i="115"/>
  <c r="J100" i="115"/>
  <c r="I100" i="115"/>
  <c r="K111" i="115"/>
  <c r="J111" i="115"/>
  <c r="I111" i="115"/>
  <c r="I67" i="115"/>
  <c r="K67" i="115"/>
  <c r="J67" i="115"/>
  <c r="K58" i="115"/>
  <c r="K57" i="115"/>
  <c r="B33" i="115"/>
  <c r="U6" i="115"/>
  <c r="V6" i="115" s="1"/>
  <c r="I87" i="115"/>
  <c r="K87" i="115"/>
  <c r="J87" i="115"/>
  <c r="K103" i="115"/>
  <c r="J103" i="115"/>
  <c r="I103" i="115"/>
  <c r="J74" i="115"/>
  <c r="I74" i="115"/>
  <c r="K74" i="115"/>
  <c r="J90" i="115"/>
  <c r="I90" i="115"/>
  <c r="K90" i="115"/>
  <c r="J106" i="115"/>
  <c r="I106" i="115"/>
  <c r="K106" i="115"/>
  <c r="K73" i="115"/>
  <c r="I73" i="115"/>
  <c r="J73" i="115"/>
  <c r="K89" i="115"/>
  <c r="J89" i="115"/>
  <c r="I89" i="115"/>
  <c r="I105" i="115"/>
  <c r="K105" i="115"/>
  <c r="J105" i="115"/>
  <c r="K72" i="115"/>
  <c r="I72" i="115"/>
  <c r="J72" i="115"/>
  <c r="K88" i="115"/>
  <c r="J88" i="115"/>
  <c r="I88" i="115"/>
  <c r="K104" i="115"/>
  <c r="J104" i="115"/>
  <c r="I104" i="115"/>
  <c r="I75" i="115"/>
  <c r="K75" i="115"/>
  <c r="J75" i="115"/>
  <c r="K66" i="115"/>
  <c r="J66" i="115"/>
  <c r="I66" i="115"/>
  <c r="K93" i="115"/>
  <c r="J93" i="115"/>
  <c r="I93" i="115"/>
  <c r="K107" i="115"/>
  <c r="J107" i="115"/>
  <c r="I107" i="115"/>
  <c r="J78" i="115"/>
  <c r="I78" i="115"/>
  <c r="K78" i="115"/>
  <c r="J94" i="115"/>
  <c r="I94" i="115"/>
  <c r="K94" i="115"/>
  <c r="K110" i="115"/>
  <c r="J110" i="115"/>
  <c r="I110" i="115"/>
  <c r="K77" i="115"/>
  <c r="I77" i="115"/>
  <c r="J77" i="115"/>
  <c r="I91" i="115"/>
  <c r="J91" i="115"/>
  <c r="K91" i="115"/>
  <c r="J109" i="115"/>
  <c r="I109" i="115"/>
  <c r="K109" i="115"/>
  <c r="K76" i="115"/>
  <c r="I76" i="115"/>
  <c r="J76" i="115"/>
  <c r="K92" i="115"/>
  <c r="J92" i="115"/>
  <c r="I92" i="115"/>
  <c r="I108" i="115"/>
  <c r="K108" i="115"/>
  <c r="J108" i="115"/>
  <c r="I79" i="115"/>
  <c r="K79" i="115"/>
  <c r="J79" i="115"/>
  <c r="K97" i="115"/>
  <c r="J97" i="115"/>
  <c r="I97" i="115"/>
  <c r="I64" i="115"/>
  <c r="J64" i="115"/>
  <c r="K64" i="115"/>
  <c r="J82" i="115"/>
  <c r="I82" i="115"/>
  <c r="K82" i="115"/>
  <c r="J98" i="115"/>
  <c r="I98" i="115"/>
  <c r="K98" i="115"/>
  <c r="K65" i="115"/>
  <c r="I65" i="115"/>
  <c r="J65" i="115"/>
  <c r="K81" i="115"/>
  <c r="J81" i="115"/>
  <c r="I81" i="115"/>
  <c r="I95" i="115"/>
  <c r="J95" i="115"/>
  <c r="K95" i="115"/>
  <c r="J113" i="115"/>
  <c r="I113" i="115"/>
  <c r="K113" i="115"/>
  <c r="K80" i="115"/>
  <c r="J80" i="115"/>
  <c r="I80" i="115"/>
  <c r="K96" i="115"/>
  <c r="J96" i="115"/>
  <c r="I96" i="115"/>
  <c r="I112" i="115"/>
  <c r="K112" i="115"/>
  <c r="J112" i="115"/>
  <c r="K57" i="113"/>
  <c r="B33" i="113"/>
  <c r="K58" i="113"/>
  <c r="U6" i="113"/>
  <c r="V6" i="113" s="1"/>
  <c r="I76" i="113"/>
  <c r="K76" i="113"/>
  <c r="J76" i="113"/>
  <c r="I92" i="113"/>
  <c r="K92" i="113"/>
  <c r="J92" i="113"/>
  <c r="K106" i="113"/>
  <c r="I106" i="113"/>
  <c r="J106" i="113"/>
  <c r="I64" i="113"/>
  <c r="K64" i="113"/>
  <c r="J64" i="113"/>
  <c r="J83" i="113"/>
  <c r="I83" i="113"/>
  <c r="K83" i="113"/>
  <c r="K65" i="113"/>
  <c r="J65" i="113"/>
  <c r="I65" i="113"/>
  <c r="K82" i="113"/>
  <c r="J82" i="113"/>
  <c r="I82" i="113"/>
  <c r="K98" i="113"/>
  <c r="J98" i="113"/>
  <c r="I98" i="113"/>
  <c r="J113" i="113"/>
  <c r="K113" i="113"/>
  <c r="I113" i="113"/>
  <c r="K81" i="113"/>
  <c r="I81" i="113"/>
  <c r="J81" i="113"/>
  <c r="K97" i="113"/>
  <c r="J97" i="113"/>
  <c r="I97" i="113"/>
  <c r="J111" i="113"/>
  <c r="K111" i="113"/>
  <c r="I111" i="113"/>
  <c r="U47" i="113"/>
  <c r="U48" i="113"/>
  <c r="J67" i="113"/>
  <c r="I67" i="113"/>
  <c r="K67" i="113"/>
  <c r="I80" i="113"/>
  <c r="K80" i="113"/>
  <c r="J80" i="113"/>
  <c r="I96" i="113"/>
  <c r="K96" i="113"/>
  <c r="J96" i="113"/>
  <c r="I108" i="113"/>
  <c r="K108" i="113"/>
  <c r="J108" i="113"/>
  <c r="J71" i="113"/>
  <c r="I71" i="113"/>
  <c r="K71" i="113"/>
  <c r="J87" i="113"/>
  <c r="I87" i="113"/>
  <c r="K87" i="113"/>
  <c r="K70" i="113"/>
  <c r="J70" i="113"/>
  <c r="I70" i="113"/>
  <c r="K86" i="113"/>
  <c r="J86" i="113"/>
  <c r="I86" i="113"/>
  <c r="I100" i="113"/>
  <c r="K100" i="113"/>
  <c r="J100" i="113"/>
  <c r="K69" i="113"/>
  <c r="I69" i="113"/>
  <c r="J69" i="113"/>
  <c r="K85" i="113"/>
  <c r="I85" i="113"/>
  <c r="J85" i="113"/>
  <c r="K99" i="113"/>
  <c r="J99" i="113"/>
  <c r="I99" i="113"/>
  <c r="I68" i="113"/>
  <c r="K68" i="113"/>
  <c r="J68" i="113"/>
  <c r="I84" i="113"/>
  <c r="K84" i="113"/>
  <c r="J84" i="113"/>
  <c r="I63" i="113"/>
  <c r="K63" i="113"/>
  <c r="J63" i="113"/>
  <c r="K102" i="113"/>
  <c r="I102" i="113"/>
  <c r="J102" i="113"/>
  <c r="K110" i="113"/>
  <c r="I110" i="113"/>
  <c r="J110" i="113"/>
  <c r="J75" i="113"/>
  <c r="I75" i="113"/>
  <c r="K75" i="113"/>
  <c r="J91" i="113"/>
  <c r="I91" i="113"/>
  <c r="K91" i="113"/>
  <c r="K74" i="113"/>
  <c r="J74" i="113"/>
  <c r="I74" i="113"/>
  <c r="K90" i="113"/>
  <c r="J90" i="113"/>
  <c r="I90" i="113"/>
  <c r="J105" i="113"/>
  <c r="K105" i="113"/>
  <c r="I105" i="113"/>
  <c r="K73" i="113"/>
  <c r="I73" i="113"/>
  <c r="J73" i="113"/>
  <c r="K89" i="113"/>
  <c r="I89" i="113"/>
  <c r="J89" i="113"/>
  <c r="J103" i="113"/>
  <c r="K103" i="113"/>
  <c r="I103" i="113"/>
  <c r="V27" i="113"/>
  <c r="X27" i="113" s="1"/>
  <c r="V34" i="113"/>
  <c r="X34" i="113" s="1"/>
  <c r="V18" i="113"/>
  <c r="X18" i="113" s="1"/>
  <c r="V25" i="113"/>
  <c r="X25" i="113" s="1"/>
  <c r="V36" i="113"/>
  <c r="X36" i="113" s="1"/>
  <c r="V20" i="113"/>
  <c r="X20" i="113" s="1"/>
  <c r="J58" i="113"/>
  <c r="U4" i="113"/>
  <c r="V4" i="113" s="1"/>
  <c r="J57" i="113"/>
  <c r="I72" i="113"/>
  <c r="K72" i="113"/>
  <c r="J72" i="113"/>
  <c r="I88" i="113"/>
  <c r="K88" i="113"/>
  <c r="J88" i="113"/>
  <c r="J101" i="113"/>
  <c r="K101" i="113"/>
  <c r="I101" i="113"/>
  <c r="K66" i="113"/>
  <c r="J66" i="113"/>
  <c r="I66" i="113"/>
  <c r="I104" i="113"/>
  <c r="K104" i="113"/>
  <c r="J104" i="113"/>
  <c r="I112" i="113"/>
  <c r="K112" i="113"/>
  <c r="J112" i="113"/>
  <c r="J79" i="113"/>
  <c r="I79" i="113"/>
  <c r="K79" i="113"/>
  <c r="J95" i="113"/>
  <c r="I95" i="113"/>
  <c r="K95" i="113"/>
  <c r="K78" i="113"/>
  <c r="J78" i="113"/>
  <c r="I78" i="113"/>
  <c r="K94" i="113"/>
  <c r="J94" i="113"/>
  <c r="I94" i="113"/>
  <c r="J109" i="113"/>
  <c r="K109" i="113"/>
  <c r="I109" i="113"/>
  <c r="K77" i="113"/>
  <c r="I77" i="113"/>
  <c r="J77" i="113"/>
  <c r="K93" i="113"/>
  <c r="J93" i="113"/>
  <c r="I93" i="113"/>
  <c r="J107" i="113"/>
  <c r="K107" i="113"/>
  <c r="I107" i="113"/>
  <c r="J66" i="112"/>
  <c r="I66" i="112"/>
  <c r="K66" i="112"/>
  <c r="K78" i="112"/>
  <c r="J78" i="112"/>
  <c r="I78" i="112"/>
  <c r="K94" i="112"/>
  <c r="J94" i="112"/>
  <c r="I94" i="112"/>
  <c r="I100" i="112"/>
  <c r="K100" i="112"/>
  <c r="J100" i="112"/>
  <c r="I67" i="112"/>
  <c r="J67" i="112"/>
  <c r="K67" i="112"/>
  <c r="I80" i="112"/>
  <c r="J80" i="112"/>
  <c r="K80" i="112"/>
  <c r="I108" i="112"/>
  <c r="K108" i="112"/>
  <c r="J108" i="112"/>
  <c r="J79" i="112"/>
  <c r="I79" i="112"/>
  <c r="K79" i="112"/>
  <c r="I96" i="112"/>
  <c r="K96" i="112"/>
  <c r="J96" i="112"/>
  <c r="J101" i="112"/>
  <c r="K101" i="112"/>
  <c r="I101" i="112"/>
  <c r="K69" i="112"/>
  <c r="J69" i="112"/>
  <c r="I69" i="112"/>
  <c r="K85" i="112"/>
  <c r="J85" i="112"/>
  <c r="I85" i="112"/>
  <c r="J99" i="112"/>
  <c r="K99" i="112"/>
  <c r="I99" i="112"/>
  <c r="K65" i="112"/>
  <c r="J65" i="112"/>
  <c r="I65" i="112"/>
  <c r="K82" i="112"/>
  <c r="J82" i="112"/>
  <c r="I82" i="112"/>
  <c r="I104" i="112"/>
  <c r="K104" i="112"/>
  <c r="J104" i="112"/>
  <c r="K102" i="112"/>
  <c r="I102" i="112"/>
  <c r="J102" i="112"/>
  <c r="I68" i="112"/>
  <c r="J68" i="112"/>
  <c r="K68" i="112"/>
  <c r="I84" i="112"/>
  <c r="J84" i="112"/>
  <c r="K84" i="112"/>
  <c r="K64" i="112"/>
  <c r="I64" i="112"/>
  <c r="J64" i="112"/>
  <c r="J83" i="112"/>
  <c r="I83" i="112"/>
  <c r="K83" i="112"/>
  <c r="K106" i="112"/>
  <c r="I106" i="112"/>
  <c r="J106" i="112"/>
  <c r="J105" i="112"/>
  <c r="K105" i="112"/>
  <c r="I105" i="112"/>
  <c r="K73" i="112"/>
  <c r="J73" i="112"/>
  <c r="I73" i="112"/>
  <c r="K89" i="112"/>
  <c r="J89" i="112"/>
  <c r="I89" i="112"/>
  <c r="J103" i="112"/>
  <c r="K103" i="112"/>
  <c r="I103" i="112"/>
  <c r="J57" i="112"/>
  <c r="U4" i="112"/>
  <c r="V4" i="112" s="1"/>
  <c r="J58" i="112"/>
  <c r="K70" i="112"/>
  <c r="J70" i="112"/>
  <c r="I70" i="112"/>
  <c r="K86" i="112"/>
  <c r="J86" i="112"/>
  <c r="I86" i="112"/>
  <c r="I112" i="112"/>
  <c r="K112" i="112"/>
  <c r="J112" i="112"/>
  <c r="I72" i="112"/>
  <c r="J72" i="112"/>
  <c r="K72" i="112"/>
  <c r="I88" i="112"/>
  <c r="J88" i="112"/>
  <c r="K88" i="112"/>
  <c r="J71" i="112"/>
  <c r="I71" i="112"/>
  <c r="K71" i="112"/>
  <c r="J87" i="112"/>
  <c r="I87" i="112"/>
  <c r="K87" i="112"/>
  <c r="K110" i="112"/>
  <c r="I110" i="112"/>
  <c r="J110" i="112"/>
  <c r="J109" i="112"/>
  <c r="K109" i="112"/>
  <c r="I109" i="112"/>
  <c r="K77" i="112"/>
  <c r="J77" i="112"/>
  <c r="I77" i="112"/>
  <c r="K93" i="112"/>
  <c r="J93" i="112"/>
  <c r="I93" i="112"/>
  <c r="J107" i="112"/>
  <c r="I107" i="112"/>
  <c r="K107" i="112"/>
  <c r="K58" i="112"/>
  <c r="K57" i="112"/>
  <c r="U6" i="112"/>
  <c r="V6" i="112" s="1"/>
  <c r="B33" i="112"/>
  <c r="K74" i="112"/>
  <c r="J74" i="112"/>
  <c r="I74" i="112"/>
  <c r="K90" i="112"/>
  <c r="J90" i="112"/>
  <c r="I90" i="112"/>
  <c r="K98" i="112"/>
  <c r="I98" i="112"/>
  <c r="J98" i="112"/>
  <c r="J63" i="112"/>
  <c r="K63" i="112"/>
  <c r="I63" i="112"/>
  <c r="I76" i="112"/>
  <c r="J76" i="112"/>
  <c r="K76" i="112"/>
  <c r="I92" i="112"/>
  <c r="J92" i="112"/>
  <c r="K92" i="112"/>
  <c r="J75" i="112"/>
  <c r="I75" i="112"/>
  <c r="K75" i="112"/>
  <c r="J91" i="112"/>
  <c r="I91" i="112"/>
  <c r="K91" i="112"/>
  <c r="J95" i="112"/>
  <c r="K95" i="112"/>
  <c r="I95" i="112"/>
  <c r="J113" i="112"/>
  <c r="K113" i="112"/>
  <c r="I113" i="112"/>
  <c r="K81" i="112"/>
  <c r="J81" i="112"/>
  <c r="I81" i="112"/>
  <c r="J97" i="112"/>
  <c r="K97" i="112"/>
  <c r="I97" i="112"/>
  <c r="J111" i="112"/>
  <c r="I111" i="112"/>
  <c r="K111" i="112"/>
  <c r="K66" i="111"/>
  <c r="J66" i="111"/>
  <c r="I66" i="111"/>
  <c r="I72" i="111"/>
  <c r="K72" i="111"/>
  <c r="J72" i="111"/>
  <c r="I88" i="111"/>
  <c r="K88" i="111"/>
  <c r="J88" i="111"/>
  <c r="I112" i="111"/>
  <c r="K112" i="111"/>
  <c r="J112" i="111"/>
  <c r="I64" i="111"/>
  <c r="K64" i="111"/>
  <c r="J64" i="111"/>
  <c r="K78" i="111"/>
  <c r="I78" i="111"/>
  <c r="J78" i="111"/>
  <c r="K94" i="111"/>
  <c r="I94" i="111"/>
  <c r="J94" i="111"/>
  <c r="I108" i="111"/>
  <c r="K108" i="111"/>
  <c r="J108" i="111"/>
  <c r="K106" i="111"/>
  <c r="I106" i="111"/>
  <c r="J106" i="111"/>
  <c r="J79" i="111"/>
  <c r="I79" i="111"/>
  <c r="K79" i="111"/>
  <c r="J95" i="111"/>
  <c r="I95" i="111"/>
  <c r="K95" i="111"/>
  <c r="J113" i="111"/>
  <c r="K113" i="111"/>
  <c r="I113" i="111"/>
  <c r="J81" i="111"/>
  <c r="K81" i="111"/>
  <c r="I81" i="111"/>
  <c r="J97" i="111"/>
  <c r="K97" i="111"/>
  <c r="I97" i="111"/>
  <c r="J111" i="111"/>
  <c r="I111" i="111"/>
  <c r="K111" i="111"/>
  <c r="V39" i="111"/>
  <c r="X39" i="111" s="1"/>
  <c r="V35" i="111"/>
  <c r="X35" i="111" s="1"/>
  <c r="V31" i="111"/>
  <c r="X31" i="111" s="1"/>
  <c r="V27" i="111"/>
  <c r="X27" i="111" s="1"/>
  <c r="V37" i="111"/>
  <c r="X37" i="111" s="1"/>
  <c r="V32" i="111"/>
  <c r="X32" i="111" s="1"/>
  <c r="V26" i="111"/>
  <c r="X26" i="111" s="1"/>
  <c r="V22" i="111"/>
  <c r="X22" i="111" s="1"/>
  <c r="V18" i="111"/>
  <c r="X18" i="111" s="1"/>
  <c r="V36" i="111"/>
  <c r="X36" i="111" s="1"/>
  <c r="V30" i="111"/>
  <c r="X30" i="111" s="1"/>
  <c r="V25" i="111"/>
  <c r="X25" i="111" s="1"/>
  <c r="V21" i="111"/>
  <c r="X21" i="111" s="1"/>
  <c r="V17" i="111"/>
  <c r="X17" i="111" s="1"/>
  <c r="V40" i="111"/>
  <c r="X40" i="111" s="1"/>
  <c r="U97" i="111" s="1"/>
  <c r="V34" i="111"/>
  <c r="X34" i="111" s="1"/>
  <c r="V29" i="111"/>
  <c r="X29" i="111" s="1"/>
  <c r="V24" i="111"/>
  <c r="X24" i="111" s="1"/>
  <c r="V20" i="111"/>
  <c r="X20" i="111" s="1"/>
  <c r="V16" i="111"/>
  <c r="X16" i="111" s="1"/>
  <c r="V38" i="111"/>
  <c r="X38" i="111" s="1"/>
  <c r="V33" i="111"/>
  <c r="X33" i="111" s="1"/>
  <c r="V28" i="111"/>
  <c r="X28" i="111" s="1"/>
  <c r="V23" i="111"/>
  <c r="X23" i="111" s="1"/>
  <c r="V19" i="111"/>
  <c r="X19" i="111" s="1"/>
  <c r="I76" i="111"/>
  <c r="K76" i="111"/>
  <c r="J76" i="111"/>
  <c r="I92" i="111"/>
  <c r="K92" i="111"/>
  <c r="J92" i="111"/>
  <c r="I68" i="111"/>
  <c r="K68" i="111"/>
  <c r="J68" i="111"/>
  <c r="K82" i="111"/>
  <c r="I82" i="111"/>
  <c r="J82" i="111"/>
  <c r="K98" i="111"/>
  <c r="I98" i="111"/>
  <c r="J98" i="111"/>
  <c r="K110" i="111"/>
  <c r="I110" i="111"/>
  <c r="J110" i="111"/>
  <c r="J83" i="111"/>
  <c r="I83" i="111"/>
  <c r="K83" i="111"/>
  <c r="J101" i="111"/>
  <c r="K101" i="111"/>
  <c r="I101" i="111"/>
  <c r="J69" i="111"/>
  <c r="K69" i="111"/>
  <c r="I69" i="111"/>
  <c r="J85" i="111"/>
  <c r="K85" i="111"/>
  <c r="I85" i="111"/>
  <c r="J99" i="111"/>
  <c r="K99" i="111"/>
  <c r="I99" i="111"/>
  <c r="J58" i="111"/>
  <c r="J57" i="111"/>
  <c r="U4" i="111"/>
  <c r="V4" i="111" s="1"/>
  <c r="I80" i="111"/>
  <c r="K80" i="111"/>
  <c r="J80" i="111"/>
  <c r="I96" i="111"/>
  <c r="K96" i="111"/>
  <c r="J96" i="111"/>
  <c r="J63" i="111"/>
  <c r="I63" i="111"/>
  <c r="K63" i="111"/>
  <c r="K70" i="111"/>
  <c r="I70" i="111"/>
  <c r="J70" i="111"/>
  <c r="K86" i="111"/>
  <c r="I86" i="111"/>
  <c r="J86" i="111"/>
  <c r="I100" i="111"/>
  <c r="K100" i="111"/>
  <c r="J100" i="111"/>
  <c r="J71" i="111"/>
  <c r="I71" i="111"/>
  <c r="K71" i="111"/>
  <c r="J87" i="111"/>
  <c r="I87" i="111"/>
  <c r="K87" i="111"/>
  <c r="J105" i="111"/>
  <c r="K105" i="111"/>
  <c r="I105" i="111"/>
  <c r="J73" i="111"/>
  <c r="K73" i="111"/>
  <c r="I73" i="111"/>
  <c r="J89" i="111"/>
  <c r="K89" i="111"/>
  <c r="I89" i="111"/>
  <c r="J103" i="111"/>
  <c r="I103" i="111"/>
  <c r="K103" i="111"/>
  <c r="K58" i="111"/>
  <c r="K57" i="111"/>
  <c r="B33" i="111"/>
  <c r="U6" i="111"/>
  <c r="V6" i="111" s="1"/>
  <c r="I84" i="111"/>
  <c r="K84" i="111"/>
  <c r="J84" i="111"/>
  <c r="I104" i="111"/>
  <c r="K104" i="111"/>
  <c r="J104" i="111"/>
  <c r="J67" i="111"/>
  <c r="I67" i="111"/>
  <c r="K67" i="111"/>
  <c r="K74" i="111"/>
  <c r="I74" i="111"/>
  <c r="J74" i="111"/>
  <c r="K90" i="111"/>
  <c r="I90" i="111"/>
  <c r="J90" i="111"/>
  <c r="K102" i="111"/>
  <c r="I102" i="111"/>
  <c r="J102" i="111"/>
  <c r="K65" i="111"/>
  <c r="J65" i="111"/>
  <c r="I65" i="111"/>
  <c r="J75" i="111"/>
  <c r="I75" i="111"/>
  <c r="K75" i="111"/>
  <c r="J91" i="111"/>
  <c r="I91" i="111"/>
  <c r="K91" i="111"/>
  <c r="J109" i="111"/>
  <c r="K109" i="111"/>
  <c r="I109" i="111"/>
  <c r="J77" i="111"/>
  <c r="K77" i="111"/>
  <c r="I77" i="111"/>
  <c r="J93" i="111"/>
  <c r="K93" i="111"/>
  <c r="I93" i="111"/>
  <c r="J107" i="111"/>
  <c r="I107" i="111"/>
  <c r="K107" i="111"/>
  <c r="J63" i="110"/>
  <c r="K63" i="110"/>
  <c r="I63" i="110"/>
  <c r="K58" i="110"/>
  <c r="K57" i="110"/>
  <c r="B33" i="110"/>
  <c r="U6" i="110"/>
  <c r="V6" i="110" s="1"/>
  <c r="J65" i="110"/>
  <c r="I65" i="110"/>
  <c r="K65" i="110"/>
  <c r="K82" i="110"/>
  <c r="J82" i="110"/>
  <c r="I82" i="110"/>
  <c r="K98" i="110"/>
  <c r="J98" i="110"/>
  <c r="I98" i="110"/>
  <c r="I72" i="110"/>
  <c r="J72" i="110"/>
  <c r="K72" i="110"/>
  <c r="I88" i="110"/>
  <c r="J88" i="110"/>
  <c r="K88" i="110"/>
  <c r="I108" i="110"/>
  <c r="K108" i="110"/>
  <c r="J108" i="110"/>
  <c r="J83" i="110"/>
  <c r="I83" i="110"/>
  <c r="K83" i="110"/>
  <c r="K102" i="110"/>
  <c r="J102" i="110"/>
  <c r="I102" i="110"/>
  <c r="J109" i="110"/>
  <c r="K109" i="110"/>
  <c r="I109" i="110"/>
  <c r="K77" i="110"/>
  <c r="J77" i="110"/>
  <c r="I77" i="110"/>
  <c r="K93" i="110"/>
  <c r="J93" i="110"/>
  <c r="I93" i="110"/>
  <c r="J107" i="110"/>
  <c r="I107" i="110"/>
  <c r="K107" i="110"/>
  <c r="J67" i="110"/>
  <c r="K67" i="110"/>
  <c r="I67" i="110"/>
  <c r="U4" i="110"/>
  <c r="V4" i="110" s="1"/>
  <c r="J58" i="110"/>
  <c r="J57" i="110"/>
  <c r="K70" i="110"/>
  <c r="J70" i="110"/>
  <c r="I70" i="110"/>
  <c r="K86" i="110"/>
  <c r="J86" i="110"/>
  <c r="I86" i="110"/>
  <c r="I104" i="110"/>
  <c r="K104" i="110"/>
  <c r="J104" i="110"/>
  <c r="I76" i="110"/>
  <c r="J76" i="110"/>
  <c r="K76" i="110"/>
  <c r="I92" i="110"/>
  <c r="J92" i="110"/>
  <c r="K92" i="110"/>
  <c r="J71" i="110"/>
  <c r="I71" i="110"/>
  <c r="K71" i="110"/>
  <c r="J87" i="110"/>
  <c r="K87" i="110"/>
  <c r="I87" i="110"/>
  <c r="K106" i="110"/>
  <c r="I106" i="110"/>
  <c r="J106" i="110"/>
  <c r="J113" i="110"/>
  <c r="K113" i="110"/>
  <c r="I113" i="110"/>
  <c r="K81" i="110"/>
  <c r="J81" i="110"/>
  <c r="I81" i="110"/>
  <c r="K97" i="110"/>
  <c r="J97" i="110"/>
  <c r="I97" i="110"/>
  <c r="J111" i="110"/>
  <c r="I111" i="110"/>
  <c r="K111" i="110"/>
  <c r="I68" i="110"/>
  <c r="J68" i="110"/>
  <c r="K68" i="110"/>
  <c r="K74" i="110"/>
  <c r="J74" i="110"/>
  <c r="I74" i="110"/>
  <c r="K90" i="110"/>
  <c r="J90" i="110"/>
  <c r="I90" i="110"/>
  <c r="I112" i="110"/>
  <c r="K112" i="110"/>
  <c r="J112" i="110"/>
  <c r="I80" i="110"/>
  <c r="J80" i="110"/>
  <c r="K80" i="110"/>
  <c r="I96" i="110"/>
  <c r="J96" i="110"/>
  <c r="K96" i="110"/>
  <c r="J75" i="110"/>
  <c r="I75" i="110"/>
  <c r="K75" i="110"/>
  <c r="J91" i="110"/>
  <c r="K91" i="110"/>
  <c r="I91" i="110"/>
  <c r="K110" i="110"/>
  <c r="I110" i="110"/>
  <c r="J110" i="110"/>
  <c r="K69" i="110"/>
  <c r="J69" i="110"/>
  <c r="I69" i="110"/>
  <c r="K85" i="110"/>
  <c r="J85" i="110"/>
  <c r="I85" i="110"/>
  <c r="I99" i="110"/>
  <c r="K99" i="110"/>
  <c r="J99" i="110"/>
  <c r="K66" i="110"/>
  <c r="J66" i="110"/>
  <c r="I66" i="110"/>
  <c r="I64" i="110"/>
  <c r="K64" i="110"/>
  <c r="J64" i="110"/>
  <c r="K78" i="110"/>
  <c r="J78" i="110"/>
  <c r="I78" i="110"/>
  <c r="K94" i="110"/>
  <c r="J94" i="110"/>
  <c r="I94" i="110"/>
  <c r="J101" i="110"/>
  <c r="K101" i="110"/>
  <c r="I101" i="110"/>
  <c r="I84" i="110"/>
  <c r="J84" i="110"/>
  <c r="K84" i="110"/>
  <c r="I100" i="110"/>
  <c r="J100" i="110"/>
  <c r="K100" i="110"/>
  <c r="J79" i="110"/>
  <c r="I79" i="110"/>
  <c r="K79" i="110"/>
  <c r="J95" i="110"/>
  <c r="K95" i="110"/>
  <c r="I95" i="110"/>
  <c r="J105" i="110"/>
  <c r="K105" i="110"/>
  <c r="I105" i="110"/>
  <c r="K73" i="110"/>
  <c r="J73" i="110"/>
  <c r="I73" i="110"/>
  <c r="K89" i="110"/>
  <c r="J89" i="110"/>
  <c r="I89" i="110"/>
  <c r="J103" i="110"/>
  <c r="I103" i="110"/>
  <c r="K103" i="110"/>
  <c r="T94" i="109"/>
  <c r="W38" i="109"/>
  <c r="T95" i="109"/>
  <c r="T56" i="109"/>
  <c r="T57" i="109"/>
  <c r="W19" i="109"/>
  <c r="I68" i="109"/>
  <c r="J68" i="109"/>
  <c r="K68" i="109"/>
  <c r="I84" i="109"/>
  <c r="J84" i="109"/>
  <c r="K84" i="109"/>
  <c r="I100" i="109"/>
  <c r="K100" i="109"/>
  <c r="J100" i="109"/>
  <c r="K65" i="109"/>
  <c r="J65" i="109"/>
  <c r="I65" i="109"/>
  <c r="K82" i="109"/>
  <c r="J82" i="109"/>
  <c r="I82" i="109"/>
  <c r="I96" i="109"/>
  <c r="J96" i="109"/>
  <c r="K96" i="109"/>
  <c r="J75" i="109"/>
  <c r="I75" i="109"/>
  <c r="K75" i="109"/>
  <c r="J91" i="109"/>
  <c r="I91" i="109"/>
  <c r="K91" i="109"/>
  <c r="K106" i="109"/>
  <c r="I106" i="109"/>
  <c r="J106" i="109"/>
  <c r="J109" i="109"/>
  <c r="K109" i="109"/>
  <c r="I109" i="109"/>
  <c r="K77" i="109"/>
  <c r="I77" i="109"/>
  <c r="J77" i="109"/>
  <c r="K93" i="109"/>
  <c r="I93" i="109"/>
  <c r="J93" i="109"/>
  <c r="J107" i="109"/>
  <c r="I107" i="109"/>
  <c r="K107" i="109"/>
  <c r="W20" i="109"/>
  <c r="T63" i="109"/>
  <c r="W22" i="109"/>
  <c r="T62" i="109"/>
  <c r="T83" i="109"/>
  <c r="T82" i="109"/>
  <c r="W32" i="109"/>
  <c r="I72" i="109"/>
  <c r="J72" i="109"/>
  <c r="K72" i="109"/>
  <c r="I88" i="109"/>
  <c r="J88" i="109"/>
  <c r="K88" i="109"/>
  <c r="K58" i="109"/>
  <c r="K57" i="109"/>
  <c r="B33" i="109"/>
  <c r="U6" i="109"/>
  <c r="V6" i="109" s="1"/>
  <c r="I64" i="109"/>
  <c r="J64" i="109"/>
  <c r="K64" i="109"/>
  <c r="I108" i="109"/>
  <c r="K108" i="109"/>
  <c r="J108" i="109"/>
  <c r="K70" i="109"/>
  <c r="J70" i="109"/>
  <c r="I70" i="109"/>
  <c r="K86" i="109"/>
  <c r="J86" i="109"/>
  <c r="I86" i="109"/>
  <c r="I104" i="109"/>
  <c r="K104" i="109"/>
  <c r="J104" i="109"/>
  <c r="J79" i="109"/>
  <c r="I79" i="109"/>
  <c r="K79" i="109"/>
  <c r="J95" i="109"/>
  <c r="K95" i="109"/>
  <c r="I95" i="109"/>
  <c r="K110" i="109"/>
  <c r="I110" i="109"/>
  <c r="J110" i="109"/>
  <c r="J113" i="109"/>
  <c r="K113" i="109"/>
  <c r="I113" i="109"/>
  <c r="K81" i="109"/>
  <c r="I81" i="109"/>
  <c r="J81" i="109"/>
  <c r="I97" i="109"/>
  <c r="K97" i="109"/>
  <c r="J97" i="109"/>
  <c r="J111" i="109"/>
  <c r="I111" i="109"/>
  <c r="K111" i="109"/>
  <c r="W23" i="109"/>
  <c r="T68" i="109"/>
  <c r="T69" i="109"/>
  <c r="W25" i="109"/>
  <c r="I76" i="109"/>
  <c r="J76" i="109"/>
  <c r="K76" i="109"/>
  <c r="I92" i="109"/>
  <c r="J92" i="109"/>
  <c r="K92" i="109"/>
  <c r="J63" i="109"/>
  <c r="K63" i="109"/>
  <c r="I63" i="109"/>
  <c r="K74" i="109"/>
  <c r="J74" i="109"/>
  <c r="I74" i="109"/>
  <c r="K90" i="109"/>
  <c r="J90" i="109"/>
  <c r="I90" i="109"/>
  <c r="I112" i="109"/>
  <c r="K112" i="109"/>
  <c r="J112" i="109"/>
  <c r="J83" i="109"/>
  <c r="I83" i="109"/>
  <c r="K83" i="109"/>
  <c r="K98" i="109"/>
  <c r="I98" i="109"/>
  <c r="J98" i="109"/>
  <c r="J101" i="109"/>
  <c r="K101" i="109"/>
  <c r="I101" i="109"/>
  <c r="K69" i="109"/>
  <c r="I69" i="109"/>
  <c r="J69" i="109"/>
  <c r="K85" i="109"/>
  <c r="I85" i="109"/>
  <c r="J85" i="109"/>
  <c r="J99" i="109"/>
  <c r="I99" i="109"/>
  <c r="K99" i="109"/>
  <c r="V16" i="109" a="1"/>
  <c r="T96" i="109"/>
  <c r="T97" i="109"/>
  <c r="W39" i="109"/>
  <c r="T76" i="109"/>
  <c r="W29" i="109"/>
  <c r="T77" i="109"/>
  <c r="T75" i="109"/>
  <c r="T74" i="109"/>
  <c r="W28" i="109"/>
  <c r="K66" i="109"/>
  <c r="J66" i="109"/>
  <c r="I66" i="109"/>
  <c r="I80" i="109"/>
  <c r="J80" i="109"/>
  <c r="K80" i="109"/>
  <c r="U4" i="109"/>
  <c r="V4" i="109" s="1"/>
  <c r="J58" i="109"/>
  <c r="J57" i="109"/>
  <c r="J67" i="109"/>
  <c r="K67" i="109"/>
  <c r="I67" i="109"/>
  <c r="K78" i="109"/>
  <c r="J78" i="109"/>
  <c r="I78" i="109"/>
  <c r="K94" i="109"/>
  <c r="J94" i="109"/>
  <c r="I94" i="109"/>
  <c r="J71" i="109"/>
  <c r="I71" i="109"/>
  <c r="K71" i="109"/>
  <c r="J87" i="109"/>
  <c r="I87" i="109"/>
  <c r="K87" i="109"/>
  <c r="K102" i="109"/>
  <c r="I102" i="109"/>
  <c r="J102" i="109"/>
  <c r="J105" i="109"/>
  <c r="K105" i="109"/>
  <c r="I105" i="109"/>
  <c r="K73" i="109"/>
  <c r="I73" i="109"/>
  <c r="J73" i="109"/>
  <c r="K89" i="109"/>
  <c r="I89" i="109"/>
  <c r="J89" i="109"/>
  <c r="J103" i="109"/>
  <c r="I103" i="109"/>
  <c r="K103" i="109"/>
  <c r="V15" i="109"/>
  <c r="X15" i="109" s="1"/>
  <c r="W33" i="109"/>
  <c r="T71" i="109"/>
  <c r="T70" i="109"/>
  <c r="W26" i="109"/>
  <c r="T87" i="109"/>
  <c r="T86" i="109"/>
  <c r="W34" i="109"/>
  <c r="U4" i="108"/>
  <c r="V4" i="108" s="1"/>
  <c r="J58" i="108"/>
  <c r="J57" i="108"/>
  <c r="I68" i="108"/>
  <c r="J68" i="108"/>
  <c r="K68" i="108"/>
  <c r="I84" i="108"/>
  <c r="J84" i="108"/>
  <c r="K84" i="108"/>
  <c r="K66" i="108"/>
  <c r="I66" i="108"/>
  <c r="J66" i="108"/>
  <c r="K70" i="108"/>
  <c r="J70" i="108"/>
  <c r="I70" i="108"/>
  <c r="K86" i="108"/>
  <c r="J86" i="108"/>
  <c r="I86" i="108"/>
  <c r="I112" i="108"/>
  <c r="K112" i="108"/>
  <c r="J112" i="108"/>
  <c r="J79" i="108"/>
  <c r="I79" i="108"/>
  <c r="K79" i="108"/>
  <c r="J95" i="108"/>
  <c r="I95" i="108"/>
  <c r="K95" i="108"/>
  <c r="K106" i="108"/>
  <c r="I106" i="108"/>
  <c r="J106" i="108"/>
  <c r="J109" i="108"/>
  <c r="K109" i="108"/>
  <c r="I109" i="108"/>
  <c r="K77" i="108"/>
  <c r="I77" i="108"/>
  <c r="J77" i="108"/>
  <c r="K93" i="108"/>
  <c r="I93" i="108"/>
  <c r="J93" i="108"/>
  <c r="J107" i="108"/>
  <c r="I107" i="108"/>
  <c r="K107" i="108"/>
  <c r="V38" i="108"/>
  <c r="X38" i="108" s="1"/>
  <c r="V34" i="108"/>
  <c r="X34" i="108" s="1"/>
  <c r="V30" i="108"/>
  <c r="X30" i="108" s="1"/>
  <c r="V26" i="108"/>
  <c r="X26" i="108" s="1"/>
  <c r="V22" i="108"/>
  <c r="X22" i="108" s="1"/>
  <c r="V18" i="108"/>
  <c r="X18" i="108" s="1"/>
  <c r="V37" i="108"/>
  <c r="X37" i="108" s="1"/>
  <c r="V33" i="108"/>
  <c r="X33" i="108" s="1"/>
  <c r="V29" i="108"/>
  <c r="X29" i="108" s="1"/>
  <c r="V25" i="108"/>
  <c r="X25" i="108" s="1"/>
  <c r="V21" i="108"/>
  <c r="X21" i="108" s="1"/>
  <c r="V17" i="108"/>
  <c r="X17" i="108" s="1"/>
  <c r="V40" i="108"/>
  <c r="X40" i="108" s="1"/>
  <c r="U97" i="108" s="1"/>
  <c r="V36" i="108"/>
  <c r="X36" i="108" s="1"/>
  <c r="V32" i="108"/>
  <c r="X32" i="108" s="1"/>
  <c r="V28" i="108"/>
  <c r="X28" i="108" s="1"/>
  <c r="V24" i="108"/>
  <c r="X24" i="108" s="1"/>
  <c r="V20" i="108"/>
  <c r="X20" i="108" s="1"/>
  <c r="V16" i="108"/>
  <c r="X16" i="108" s="1"/>
  <c r="V39" i="108"/>
  <c r="X39" i="108" s="1"/>
  <c r="V35" i="108"/>
  <c r="X35" i="108" s="1"/>
  <c r="V31" i="108"/>
  <c r="X31" i="108" s="1"/>
  <c r="V27" i="108"/>
  <c r="X27" i="108" s="1"/>
  <c r="V23" i="108"/>
  <c r="X23" i="108" s="1"/>
  <c r="V19" i="108"/>
  <c r="X19" i="108" s="1"/>
  <c r="I72" i="108"/>
  <c r="J72" i="108"/>
  <c r="K72" i="108"/>
  <c r="I88" i="108"/>
  <c r="J88" i="108"/>
  <c r="K88" i="108"/>
  <c r="K58" i="108"/>
  <c r="K57" i="108"/>
  <c r="B33" i="108"/>
  <c r="U6" i="108"/>
  <c r="V6" i="108" s="1"/>
  <c r="K74" i="108"/>
  <c r="J74" i="108"/>
  <c r="I74" i="108"/>
  <c r="K90" i="108"/>
  <c r="J90" i="108"/>
  <c r="I90" i="108"/>
  <c r="I108" i="108"/>
  <c r="K108" i="108"/>
  <c r="J108" i="108"/>
  <c r="J83" i="108"/>
  <c r="I83" i="108"/>
  <c r="K83" i="108"/>
  <c r="K98" i="108"/>
  <c r="I98" i="108"/>
  <c r="J98" i="108"/>
  <c r="K110" i="108"/>
  <c r="I110" i="108"/>
  <c r="J110" i="108"/>
  <c r="J113" i="108"/>
  <c r="K113" i="108"/>
  <c r="I113" i="108"/>
  <c r="K81" i="108"/>
  <c r="I81" i="108"/>
  <c r="J81" i="108"/>
  <c r="K97" i="108"/>
  <c r="I97" i="108"/>
  <c r="J97" i="108"/>
  <c r="J111" i="108"/>
  <c r="I111" i="108"/>
  <c r="K111" i="108"/>
  <c r="I64" i="108"/>
  <c r="K64" i="108"/>
  <c r="J64" i="108"/>
  <c r="I76" i="108"/>
  <c r="J76" i="108"/>
  <c r="K76" i="108"/>
  <c r="I92" i="108"/>
  <c r="J92" i="108"/>
  <c r="K92" i="108"/>
  <c r="J63" i="108"/>
  <c r="K63" i="108"/>
  <c r="I63" i="108"/>
  <c r="K78" i="108"/>
  <c r="J78" i="108"/>
  <c r="I78" i="108"/>
  <c r="K94" i="108"/>
  <c r="J94" i="108"/>
  <c r="I94" i="108"/>
  <c r="J71" i="108"/>
  <c r="I71" i="108"/>
  <c r="K71" i="108"/>
  <c r="J87" i="108"/>
  <c r="I87" i="108"/>
  <c r="K87" i="108"/>
  <c r="I100" i="108"/>
  <c r="K100" i="108"/>
  <c r="J100" i="108"/>
  <c r="J101" i="108"/>
  <c r="I101" i="108"/>
  <c r="K101" i="108"/>
  <c r="K69" i="108"/>
  <c r="I69" i="108"/>
  <c r="J69" i="108"/>
  <c r="K85" i="108"/>
  <c r="I85" i="108"/>
  <c r="J85" i="108"/>
  <c r="J99" i="108"/>
  <c r="I99" i="108"/>
  <c r="K99" i="108"/>
  <c r="U48" i="108"/>
  <c r="U47" i="108"/>
  <c r="I67" i="108"/>
  <c r="J67" i="108"/>
  <c r="K67" i="108"/>
  <c r="I80" i="108"/>
  <c r="J80" i="108"/>
  <c r="K80" i="108"/>
  <c r="I96" i="108"/>
  <c r="J96" i="108"/>
  <c r="K96" i="108"/>
  <c r="I65" i="108"/>
  <c r="K65" i="108"/>
  <c r="J65" i="108"/>
  <c r="K82" i="108"/>
  <c r="J82" i="108"/>
  <c r="I82" i="108"/>
  <c r="I104" i="108"/>
  <c r="K104" i="108"/>
  <c r="J104" i="108"/>
  <c r="J75" i="108"/>
  <c r="I75" i="108"/>
  <c r="K75" i="108"/>
  <c r="J91" i="108"/>
  <c r="I91" i="108"/>
  <c r="K91" i="108"/>
  <c r="K102" i="108"/>
  <c r="I102" i="108"/>
  <c r="J102" i="108"/>
  <c r="J105" i="108"/>
  <c r="K105" i="108"/>
  <c r="I105" i="108"/>
  <c r="K73" i="108"/>
  <c r="I73" i="108"/>
  <c r="J73" i="108"/>
  <c r="K89" i="108"/>
  <c r="I89" i="108"/>
  <c r="J89" i="108"/>
  <c r="J103" i="108"/>
  <c r="I103" i="108"/>
  <c r="K103" i="108"/>
  <c r="J77" i="107"/>
  <c r="I77" i="107"/>
  <c r="K77" i="107"/>
  <c r="J58" i="107"/>
  <c r="J57" i="107"/>
  <c r="U4" i="107"/>
  <c r="V4" i="107" s="1"/>
  <c r="I104" i="107"/>
  <c r="K104" i="107"/>
  <c r="J104" i="107"/>
  <c r="I68" i="107"/>
  <c r="K68" i="107"/>
  <c r="J68" i="107"/>
  <c r="J73" i="107"/>
  <c r="I73" i="107"/>
  <c r="K73" i="107"/>
  <c r="J99" i="107"/>
  <c r="I99" i="107"/>
  <c r="K99" i="107"/>
  <c r="J111" i="107"/>
  <c r="I111" i="107"/>
  <c r="K111" i="107"/>
  <c r="J95" i="107"/>
  <c r="K95" i="107"/>
  <c r="I95" i="107"/>
  <c r="I76" i="107"/>
  <c r="K76" i="107"/>
  <c r="J76" i="107"/>
  <c r="K82" i="107"/>
  <c r="I82" i="107"/>
  <c r="J82" i="107"/>
  <c r="J109" i="107"/>
  <c r="I109" i="107"/>
  <c r="K109" i="107"/>
  <c r="I88" i="107"/>
  <c r="K88" i="107"/>
  <c r="J88" i="107"/>
  <c r="K94" i="107"/>
  <c r="I94" i="107"/>
  <c r="J94" i="107"/>
  <c r="J105" i="107"/>
  <c r="I105" i="107"/>
  <c r="K105" i="107"/>
  <c r="J97" i="107"/>
  <c r="I97" i="107"/>
  <c r="K97" i="107"/>
  <c r="J79" i="107"/>
  <c r="K79" i="107"/>
  <c r="I79" i="107"/>
  <c r="K67" i="107"/>
  <c r="J67" i="107"/>
  <c r="I67" i="107"/>
  <c r="J107" i="107"/>
  <c r="I107" i="107"/>
  <c r="K107" i="107"/>
  <c r="J91" i="107"/>
  <c r="K91" i="107"/>
  <c r="I91" i="107"/>
  <c r="I72" i="107"/>
  <c r="K72" i="107"/>
  <c r="J72" i="107"/>
  <c r="K78" i="107"/>
  <c r="I78" i="107"/>
  <c r="J78" i="107"/>
  <c r="J103" i="107"/>
  <c r="I103" i="107"/>
  <c r="K103" i="107"/>
  <c r="J87" i="107"/>
  <c r="K87" i="107"/>
  <c r="I87" i="107"/>
  <c r="J81" i="107"/>
  <c r="I81" i="107"/>
  <c r="K81" i="107"/>
  <c r="K58" i="107"/>
  <c r="U6" i="107"/>
  <c r="V6" i="107" s="1"/>
  <c r="K57" i="107"/>
  <c r="B33" i="107"/>
  <c r="K106" i="107"/>
  <c r="I106" i="107"/>
  <c r="J106" i="107"/>
  <c r="J93" i="107"/>
  <c r="I93" i="107"/>
  <c r="K93" i="107"/>
  <c r="J75" i="107"/>
  <c r="K75" i="107"/>
  <c r="I75" i="107"/>
  <c r="I112" i="107"/>
  <c r="K112" i="107"/>
  <c r="J112" i="107"/>
  <c r="K63" i="107"/>
  <c r="J63" i="107"/>
  <c r="I63" i="107"/>
  <c r="J89" i="107"/>
  <c r="I89" i="107"/>
  <c r="K89" i="107"/>
  <c r="J71" i="107"/>
  <c r="K71" i="107"/>
  <c r="I71" i="107"/>
  <c r="J113" i="107"/>
  <c r="I113" i="107"/>
  <c r="K113" i="107"/>
  <c r="I92" i="107"/>
  <c r="K92" i="107"/>
  <c r="J92" i="107"/>
  <c r="K98" i="107"/>
  <c r="I98" i="107"/>
  <c r="J98" i="107"/>
  <c r="J58" i="106"/>
  <c r="U4" i="106"/>
  <c r="V4" i="106" s="1"/>
  <c r="J57" i="106"/>
  <c r="I68" i="106"/>
  <c r="K68" i="106"/>
  <c r="J68" i="106"/>
  <c r="K82" i="106"/>
  <c r="I82" i="106"/>
  <c r="J82" i="106"/>
  <c r="K98" i="106"/>
  <c r="I98" i="106"/>
  <c r="J98" i="106"/>
  <c r="K106" i="106"/>
  <c r="I106" i="106"/>
  <c r="J106" i="106"/>
  <c r="I64" i="106"/>
  <c r="J64" i="106"/>
  <c r="K64" i="106"/>
  <c r="I80" i="106"/>
  <c r="K80" i="106"/>
  <c r="J80" i="106"/>
  <c r="I96" i="106"/>
  <c r="K96" i="106"/>
  <c r="J96" i="106"/>
  <c r="J83" i="106"/>
  <c r="K83" i="106"/>
  <c r="I83" i="106"/>
  <c r="J101" i="106"/>
  <c r="K101" i="106"/>
  <c r="I101" i="106"/>
  <c r="J69" i="106"/>
  <c r="K69" i="106"/>
  <c r="I69" i="106"/>
  <c r="J85" i="106"/>
  <c r="K85" i="106"/>
  <c r="I85" i="106"/>
  <c r="J99" i="106"/>
  <c r="K99" i="106"/>
  <c r="I99" i="106"/>
  <c r="U48" i="106"/>
  <c r="U47" i="106"/>
  <c r="K58" i="106"/>
  <c r="K57" i="106"/>
  <c r="B33" i="106"/>
  <c r="U6" i="106"/>
  <c r="V6" i="106" s="1"/>
  <c r="K70" i="106"/>
  <c r="I70" i="106"/>
  <c r="J70" i="106"/>
  <c r="K86" i="106"/>
  <c r="I86" i="106"/>
  <c r="J86" i="106"/>
  <c r="I100" i="106"/>
  <c r="K100" i="106"/>
  <c r="J100" i="106"/>
  <c r="I108" i="106"/>
  <c r="K108" i="106"/>
  <c r="J108" i="106"/>
  <c r="K65" i="106"/>
  <c r="J65" i="106"/>
  <c r="I65" i="106"/>
  <c r="I84" i="106"/>
  <c r="K84" i="106"/>
  <c r="J84" i="106"/>
  <c r="J71" i="106"/>
  <c r="K71" i="106"/>
  <c r="I71" i="106"/>
  <c r="J87" i="106"/>
  <c r="K87" i="106"/>
  <c r="I87" i="106"/>
  <c r="J105" i="106"/>
  <c r="K105" i="106"/>
  <c r="I105" i="106"/>
  <c r="J73" i="106"/>
  <c r="K73" i="106"/>
  <c r="I73" i="106"/>
  <c r="J89" i="106"/>
  <c r="K89" i="106"/>
  <c r="I89" i="106"/>
  <c r="J103" i="106"/>
  <c r="K103" i="106"/>
  <c r="I103" i="106"/>
  <c r="K66" i="106"/>
  <c r="J66" i="106"/>
  <c r="I66" i="106"/>
  <c r="K74" i="106"/>
  <c r="I74" i="106"/>
  <c r="J74" i="106"/>
  <c r="K90" i="106"/>
  <c r="I90" i="106"/>
  <c r="J90" i="106"/>
  <c r="K102" i="106"/>
  <c r="I102" i="106"/>
  <c r="J102" i="106"/>
  <c r="K110" i="106"/>
  <c r="I110" i="106"/>
  <c r="J110" i="106"/>
  <c r="I72" i="106"/>
  <c r="K72" i="106"/>
  <c r="J72" i="106"/>
  <c r="I88" i="106"/>
  <c r="K88" i="106"/>
  <c r="J88" i="106"/>
  <c r="J75" i="106"/>
  <c r="K75" i="106"/>
  <c r="I75" i="106"/>
  <c r="J91" i="106"/>
  <c r="K91" i="106"/>
  <c r="I91" i="106"/>
  <c r="J109" i="106"/>
  <c r="K109" i="106"/>
  <c r="I109" i="106"/>
  <c r="J77" i="106"/>
  <c r="K77" i="106"/>
  <c r="I77" i="106"/>
  <c r="J93" i="106"/>
  <c r="K93" i="106"/>
  <c r="I93" i="106"/>
  <c r="J107" i="106"/>
  <c r="K107" i="106"/>
  <c r="I107" i="106"/>
  <c r="J63" i="106"/>
  <c r="I63" i="106"/>
  <c r="K63" i="106"/>
  <c r="J67" i="106"/>
  <c r="I67" i="106"/>
  <c r="K67" i="106"/>
  <c r="K78" i="106"/>
  <c r="I78" i="106"/>
  <c r="J78" i="106"/>
  <c r="K94" i="106"/>
  <c r="I94" i="106"/>
  <c r="J94" i="106"/>
  <c r="I104" i="106"/>
  <c r="K104" i="106"/>
  <c r="J104" i="106"/>
  <c r="I112" i="106"/>
  <c r="K112" i="106"/>
  <c r="J112" i="106"/>
  <c r="I76" i="106"/>
  <c r="K76" i="106"/>
  <c r="J76" i="106"/>
  <c r="I92" i="106"/>
  <c r="K92" i="106"/>
  <c r="J92" i="106"/>
  <c r="J79" i="106"/>
  <c r="K79" i="106"/>
  <c r="I79" i="106"/>
  <c r="J95" i="106"/>
  <c r="K95" i="106"/>
  <c r="I95" i="106"/>
  <c r="J113" i="106"/>
  <c r="K113" i="106"/>
  <c r="I113" i="106"/>
  <c r="J81" i="106"/>
  <c r="K81" i="106"/>
  <c r="I81" i="106"/>
  <c r="J97" i="106"/>
  <c r="K97" i="106"/>
  <c r="I97" i="106"/>
  <c r="J111" i="106"/>
  <c r="K111" i="106"/>
  <c r="I111" i="106"/>
  <c r="V39" i="106"/>
  <c r="X39" i="106" s="1"/>
  <c r="V35" i="106"/>
  <c r="X35" i="106" s="1"/>
  <c r="V31" i="106"/>
  <c r="X31" i="106" s="1"/>
  <c r="V27" i="106"/>
  <c r="X27" i="106" s="1"/>
  <c r="V23" i="106"/>
  <c r="X23" i="106" s="1"/>
  <c r="V19" i="106"/>
  <c r="X19" i="106" s="1"/>
  <c r="V38" i="106"/>
  <c r="X38" i="106" s="1"/>
  <c r="V34" i="106"/>
  <c r="X34" i="106" s="1"/>
  <c r="V30" i="106"/>
  <c r="X30" i="106" s="1"/>
  <c r="V26" i="106"/>
  <c r="X26" i="106" s="1"/>
  <c r="V22" i="106"/>
  <c r="X22" i="106" s="1"/>
  <c r="V18" i="106"/>
  <c r="X18" i="106" s="1"/>
  <c r="V37" i="106"/>
  <c r="X37" i="106" s="1"/>
  <c r="V33" i="106"/>
  <c r="X33" i="106" s="1"/>
  <c r="V29" i="106"/>
  <c r="X29" i="106" s="1"/>
  <c r="V25" i="106"/>
  <c r="X25" i="106" s="1"/>
  <c r="V21" i="106"/>
  <c r="X21" i="106" s="1"/>
  <c r="V17" i="106"/>
  <c r="X17" i="106" s="1"/>
  <c r="V40" i="106"/>
  <c r="X40" i="106" s="1"/>
  <c r="U97" i="106" s="1"/>
  <c r="V36" i="106"/>
  <c r="X36" i="106" s="1"/>
  <c r="V32" i="106"/>
  <c r="X32" i="106" s="1"/>
  <c r="V28" i="106"/>
  <c r="X28" i="106" s="1"/>
  <c r="V24" i="106"/>
  <c r="X24" i="106" s="1"/>
  <c r="V20" i="106"/>
  <c r="X20" i="106" s="1"/>
  <c r="V16" i="106"/>
  <c r="X16" i="106" s="1"/>
  <c r="I100" i="105"/>
  <c r="J100" i="105"/>
  <c r="K100" i="105"/>
  <c r="J65" i="105"/>
  <c r="K65" i="105"/>
  <c r="I65" i="105"/>
  <c r="J83" i="105"/>
  <c r="K83" i="105"/>
  <c r="I83" i="105"/>
  <c r="K70" i="105"/>
  <c r="I70" i="105"/>
  <c r="J70" i="105"/>
  <c r="K86" i="105"/>
  <c r="I86" i="105"/>
  <c r="J86" i="105"/>
  <c r="I72" i="105"/>
  <c r="K72" i="105"/>
  <c r="J72" i="105"/>
  <c r="I88" i="105"/>
  <c r="K88" i="105"/>
  <c r="J88" i="105"/>
  <c r="J109" i="105"/>
  <c r="K109" i="105"/>
  <c r="I109" i="105"/>
  <c r="I96" i="105"/>
  <c r="J96" i="105"/>
  <c r="K96" i="105"/>
  <c r="K106" i="105"/>
  <c r="J106" i="105"/>
  <c r="I106" i="105"/>
  <c r="I77" i="105"/>
  <c r="J77" i="105"/>
  <c r="K77" i="105"/>
  <c r="I93" i="105"/>
  <c r="J93" i="105"/>
  <c r="K93" i="105"/>
  <c r="I107" i="105"/>
  <c r="K107" i="105"/>
  <c r="J107" i="105"/>
  <c r="V37" i="105"/>
  <c r="X37" i="105" s="1"/>
  <c r="V33" i="105"/>
  <c r="X33" i="105" s="1"/>
  <c r="V29" i="105"/>
  <c r="X29" i="105" s="1"/>
  <c r="V25" i="105"/>
  <c r="X25" i="105" s="1"/>
  <c r="V21" i="105"/>
  <c r="X21" i="105" s="1"/>
  <c r="V17" i="105"/>
  <c r="X17" i="105" s="1"/>
  <c r="V40" i="105"/>
  <c r="X40" i="105" s="1"/>
  <c r="U97" i="105" s="1"/>
  <c r="V36" i="105"/>
  <c r="X36" i="105" s="1"/>
  <c r="V32" i="105"/>
  <c r="X32" i="105" s="1"/>
  <c r="V28" i="105"/>
  <c r="X28" i="105" s="1"/>
  <c r="V24" i="105"/>
  <c r="X24" i="105" s="1"/>
  <c r="V20" i="105"/>
  <c r="X20" i="105" s="1"/>
  <c r="V16" i="105"/>
  <c r="X16" i="105" s="1"/>
  <c r="V39" i="105"/>
  <c r="X39" i="105" s="1"/>
  <c r="V35" i="105"/>
  <c r="X35" i="105" s="1"/>
  <c r="V31" i="105"/>
  <c r="X31" i="105" s="1"/>
  <c r="V27" i="105"/>
  <c r="X27" i="105" s="1"/>
  <c r="V23" i="105"/>
  <c r="X23" i="105" s="1"/>
  <c r="V19" i="105"/>
  <c r="X19" i="105" s="1"/>
  <c r="V38" i="105"/>
  <c r="X38" i="105" s="1"/>
  <c r="V34" i="105"/>
  <c r="X34" i="105" s="1"/>
  <c r="V30" i="105"/>
  <c r="X30" i="105" s="1"/>
  <c r="V26" i="105"/>
  <c r="X26" i="105" s="1"/>
  <c r="V22" i="105"/>
  <c r="X22" i="105" s="1"/>
  <c r="V18" i="105"/>
  <c r="X18" i="105" s="1"/>
  <c r="I104" i="105"/>
  <c r="J104" i="105"/>
  <c r="K104" i="105"/>
  <c r="J71" i="105"/>
  <c r="K71" i="105"/>
  <c r="I71" i="105"/>
  <c r="J87" i="105"/>
  <c r="K87" i="105"/>
  <c r="I87" i="105"/>
  <c r="K74" i="105"/>
  <c r="I74" i="105"/>
  <c r="J74" i="105"/>
  <c r="K90" i="105"/>
  <c r="I90" i="105"/>
  <c r="J90" i="105"/>
  <c r="I63" i="105"/>
  <c r="K63" i="105"/>
  <c r="J63" i="105"/>
  <c r="I76" i="105"/>
  <c r="K76" i="105"/>
  <c r="J76" i="105"/>
  <c r="I92" i="105"/>
  <c r="K92" i="105"/>
  <c r="J92" i="105"/>
  <c r="J113" i="105"/>
  <c r="K113" i="105"/>
  <c r="I113" i="105"/>
  <c r="K94" i="105"/>
  <c r="J94" i="105"/>
  <c r="I94" i="105"/>
  <c r="K110" i="105"/>
  <c r="J110" i="105"/>
  <c r="I110" i="105"/>
  <c r="I81" i="105"/>
  <c r="J81" i="105"/>
  <c r="K81" i="105"/>
  <c r="I97" i="105"/>
  <c r="J97" i="105"/>
  <c r="K97" i="105"/>
  <c r="I111" i="105"/>
  <c r="K111" i="105"/>
  <c r="J111" i="105"/>
  <c r="U47" i="105"/>
  <c r="U48" i="105"/>
  <c r="B33" i="105"/>
  <c r="U6" i="105"/>
  <c r="V6" i="105" s="1"/>
  <c r="K57" i="105"/>
  <c r="K58" i="105"/>
  <c r="J75" i="105"/>
  <c r="K75" i="105"/>
  <c r="I75" i="105"/>
  <c r="J91" i="105"/>
  <c r="K91" i="105"/>
  <c r="I91" i="105"/>
  <c r="J57" i="105"/>
  <c r="J58" i="105"/>
  <c r="U4" i="105"/>
  <c r="V4" i="105" s="1"/>
  <c r="K78" i="105"/>
  <c r="I78" i="105"/>
  <c r="J78" i="105"/>
  <c r="I67" i="105"/>
  <c r="K67" i="105"/>
  <c r="J67" i="105"/>
  <c r="I80" i="105"/>
  <c r="K80" i="105"/>
  <c r="J80" i="105"/>
  <c r="J101" i="105"/>
  <c r="K101" i="105"/>
  <c r="I101" i="105"/>
  <c r="I108" i="105"/>
  <c r="J108" i="105"/>
  <c r="K108" i="105"/>
  <c r="K98" i="105"/>
  <c r="J98" i="105"/>
  <c r="I98" i="105"/>
  <c r="I69" i="105"/>
  <c r="J69" i="105"/>
  <c r="K69" i="105"/>
  <c r="I85" i="105"/>
  <c r="J85" i="105"/>
  <c r="K85" i="105"/>
  <c r="I99" i="105"/>
  <c r="K99" i="105"/>
  <c r="J99" i="105"/>
  <c r="I66" i="105"/>
  <c r="K66" i="105"/>
  <c r="J66" i="105"/>
  <c r="J79" i="105"/>
  <c r="K79" i="105"/>
  <c r="I79" i="105"/>
  <c r="J95" i="105"/>
  <c r="K95" i="105"/>
  <c r="I95" i="105"/>
  <c r="K64" i="105"/>
  <c r="I64" i="105"/>
  <c r="J64" i="105"/>
  <c r="K82" i="105"/>
  <c r="I82" i="105"/>
  <c r="J82" i="105"/>
  <c r="I68" i="105"/>
  <c r="K68" i="105"/>
  <c r="J68" i="105"/>
  <c r="I84" i="105"/>
  <c r="K84" i="105"/>
  <c r="J84" i="105"/>
  <c r="J105" i="105"/>
  <c r="K105" i="105"/>
  <c r="I105" i="105"/>
  <c r="I112" i="105"/>
  <c r="J112" i="105"/>
  <c r="K112" i="105"/>
  <c r="K102" i="105"/>
  <c r="I102" i="105"/>
  <c r="J102" i="105"/>
  <c r="I73" i="105"/>
  <c r="J73" i="105"/>
  <c r="K73" i="105"/>
  <c r="I89" i="105"/>
  <c r="J89" i="105"/>
  <c r="K89" i="105"/>
  <c r="I103" i="105"/>
  <c r="K103" i="105"/>
  <c r="J103" i="105"/>
  <c r="I67" i="104"/>
  <c r="J67" i="104"/>
  <c r="K67" i="104"/>
  <c r="J58" i="104"/>
  <c r="U4" i="104"/>
  <c r="V4" i="104" s="1"/>
  <c r="J57" i="104"/>
  <c r="K64" i="104"/>
  <c r="J64" i="104"/>
  <c r="I64" i="104"/>
  <c r="J83" i="104"/>
  <c r="K83" i="104"/>
  <c r="I83" i="104"/>
  <c r="I112" i="104"/>
  <c r="K112" i="104"/>
  <c r="J112" i="104"/>
  <c r="K94" i="104"/>
  <c r="J94" i="104"/>
  <c r="I94" i="104"/>
  <c r="J109" i="104"/>
  <c r="K109" i="104"/>
  <c r="I109" i="104"/>
  <c r="I80" i="104"/>
  <c r="K80" i="104"/>
  <c r="J80" i="104"/>
  <c r="I96" i="104"/>
  <c r="K96" i="104"/>
  <c r="J96" i="104"/>
  <c r="K102" i="104"/>
  <c r="J102" i="104"/>
  <c r="I102" i="104"/>
  <c r="J69" i="104"/>
  <c r="I69" i="104"/>
  <c r="K69" i="104"/>
  <c r="J85" i="104"/>
  <c r="I85" i="104"/>
  <c r="K85" i="104"/>
  <c r="I99" i="104"/>
  <c r="J99" i="104"/>
  <c r="K99" i="104"/>
  <c r="K65" i="104"/>
  <c r="J65" i="104"/>
  <c r="I65" i="104"/>
  <c r="K74" i="104"/>
  <c r="J74" i="104"/>
  <c r="I74" i="104"/>
  <c r="J66" i="104"/>
  <c r="K66" i="104"/>
  <c r="I66" i="104"/>
  <c r="J71" i="104"/>
  <c r="K71" i="104"/>
  <c r="I71" i="104"/>
  <c r="J87" i="104"/>
  <c r="K87" i="104"/>
  <c r="I87" i="104"/>
  <c r="K82" i="104"/>
  <c r="J82" i="104"/>
  <c r="I82" i="104"/>
  <c r="K98" i="104"/>
  <c r="J98" i="104"/>
  <c r="I98" i="104"/>
  <c r="I68" i="104"/>
  <c r="J68" i="104"/>
  <c r="K68" i="104"/>
  <c r="I84" i="104"/>
  <c r="K84" i="104"/>
  <c r="J84" i="104"/>
  <c r="I100" i="104"/>
  <c r="J100" i="104"/>
  <c r="K100" i="104"/>
  <c r="K106" i="104"/>
  <c r="J106" i="104"/>
  <c r="I106" i="104"/>
  <c r="J73" i="104"/>
  <c r="I73" i="104"/>
  <c r="K73" i="104"/>
  <c r="J89" i="104"/>
  <c r="I89" i="104"/>
  <c r="K89" i="104"/>
  <c r="I103" i="104"/>
  <c r="J103" i="104"/>
  <c r="K103" i="104"/>
  <c r="K70" i="104"/>
  <c r="J70" i="104"/>
  <c r="I70" i="104"/>
  <c r="K57" i="104"/>
  <c r="K58" i="104"/>
  <c r="U6" i="104"/>
  <c r="V6" i="104" s="1"/>
  <c r="J75" i="104"/>
  <c r="K75" i="104"/>
  <c r="I75" i="104"/>
  <c r="J91" i="104"/>
  <c r="K91" i="104"/>
  <c r="I91" i="104"/>
  <c r="K86" i="104"/>
  <c r="J86" i="104"/>
  <c r="I86" i="104"/>
  <c r="J101" i="104"/>
  <c r="K101" i="104"/>
  <c r="I101" i="104"/>
  <c r="I72" i="104"/>
  <c r="J72" i="104"/>
  <c r="K72" i="104"/>
  <c r="I88" i="104"/>
  <c r="K88" i="104"/>
  <c r="J88" i="104"/>
  <c r="I104" i="104"/>
  <c r="J104" i="104"/>
  <c r="K104" i="104"/>
  <c r="K110" i="104"/>
  <c r="J110" i="104"/>
  <c r="I110" i="104"/>
  <c r="J77" i="104"/>
  <c r="I77" i="104"/>
  <c r="K77" i="104"/>
  <c r="J93" i="104"/>
  <c r="I93" i="104"/>
  <c r="K93" i="104"/>
  <c r="I107" i="104"/>
  <c r="J107" i="104"/>
  <c r="K107" i="104"/>
  <c r="K78" i="104"/>
  <c r="J78" i="104"/>
  <c r="I78" i="104"/>
  <c r="I63" i="104"/>
  <c r="J63" i="104"/>
  <c r="K63" i="104"/>
  <c r="J79" i="104"/>
  <c r="K79" i="104"/>
  <c r="I79" i="104"/>
  <c r="J95" i="104"/>
  <c r="K95" i="104"/>
  <c r="I95" i="104"/>
  <c r="K90" i="104"/>
  <c r="J90" i="104"/>
  <c r="I90" i="104"/>
  <c r="J105" i="104"/>
  <c r="K105" i="104"/>
  <c r="I105" i="104"/>
  <c r="I76" i="104"/>
  <c r="J76" i="104"/>
  <c r="K76" i="104"/>
  <c r="I92" i="104"/>
  <c r="K92" i="104"/>
  <c r="J92" i="104"/>
  <c r="I108" i="104"/>
  <c r="J108" i="104"/>
  <c r="K108" i="104"/>
  <c r="J113" i="104"/>
  <c r="K113" i="104"/>
  <c r="I113" i="104"/>
  <c r="J81" i="104"/>
  <c r="I81" i="104"/>
  <c r="K81" i="104"/>
  <c r="J97" i="104"/>
  <c r="I97" i="104"/>
  <c r="K97" i="104"/>
  <c r="J111" i="104"/>
  <c r="I111" i="104"/>
  <c r="K111" i="104"/>
  <c r="V39" i="102"/>
  <c r="X39" i="102" s="1"/>
  <c r="V37" i="102"/>
  <c r="X37" i="102" s="1"/>
  <c r="V33" i="102"/>
  <c r="X33" i="102" s="1"/>
  <c r="V29" i="102"/>
  <c r="X29" i="102" s="1"/>
  <c r="V25" i="102"/>
  <c r="X25" i="102" s="1"/>
  <c r="V21" i="102"/>
  <c r="X21" i="102" s="1"/>
  <c r="V17" i="102"/>
  <c r="X17" i="102" s="1"/>
  <c r="V36" i="102"/>
  <c r="X36" i="102" s="1"/>
  <c r="V32" i="102"/>
  <c r="X32" i="102" s="1"/>
  <c r="V28" i="102"/>
  <c r="X28" i="102" s="1"/>
  <c r="V24" i="102"/>
  <c r="X24" i="102" s="1"/>
  <c r="V20" i="102"/>
  <c r="X20" i="102" s="1"/>
  <c r="V16" i="102"/>
  <c r="X16" i="102" s="1"/>
  <c r="V40" i="102"/>
  <c r="X40" i="102" s="1"/>
  <c r="U97" i="102" s="1"/>
  <c r="V35" i="102"/>
  <c r="X35" i="102" s="1"/>
  <c r="V31" i="102"/>
  <c r="X31" i="102" s="1"/>
  <c r="V27" i="102"/>
  <c r="X27" i="102" s="1"/>
  <c r="V23" i="102"/>
  <c r="X23" i="102" s="1"/>
  <c r="V19" i="102"/>
  <c r="X19" i="102" s="1"/>
  <c r="V38" i="102"/>
  <c r="X38" i="102" s="1"/>
  <c r="V34" i="102"/>
  <c r="X34" i="102" s="1"/>
  <c r="V30" i="102"/>
  <c r="X30" i="102" s="1"/>
  <c r="V26" i="102"/>
  <c r="X26" i="102" s="1"/>
  <c r="V22" i="102"/>
  <c r="X22" i="102" s="1"/>
  <c r="V18" i="102"/>
  <c r="X18" i="102" s="1"/>
  <c r="I78" i="102"/>
  <c r="K78" i="102"/>
  <c r="J78" i="102"/>
  <c r="K66" i="102"/>
  <c r="J66" i="102"/>
  <c r="I66" i="102"/>
  <c r="K94" i="102"/>
  <c r="I94" i="102"/>
  <c r="J94" i="102"/>
  <c r="I104" i="102"/>
  <c r="K104" i="102"/>
  <c r="J104" i="102"/>
  <c r="I112" i="102"/>
  <c r="K112" i="102"/>
  <c r="J112" i="102"/>
  <c r="J73" i="102"/>
  <c r="I73" i="102"/>
  <c r="K73" i="102"/>
  <c r="K76" i="102"/>
  <c r="I76" i="102"/>
  <c r="J76" i="102"/>
  <c r="I92" i="102"/>
  <c r="K92" i="102"/>
  <c r="J92" i="102"/>
  <c r="K79" i="102"/>
  <c r="I79" i="102"/>
  <c r="J79" i="102"/>
  <c r="J95" i="102"/>
  <c r="K95" i="102"/>
  <c r="I95" i="102"/>
  <c r="J113" i="102"/>
  <c r="K113" i="102"/>
  <c r="I113" i="102"/>
  <c r="J99" i="102"/>
  <c r="K99" i="102"/>
  <c r="I99" i="102"/>
  <c r="U48" i="102"/>
  <c r="J58" i="102"/>
  <c r="J57" i="102"/>
  <c r="U4" i="102"/>
  <c r="V4" i="102" s="1"/>
  <c r="I82" i="102"/>
  <c r="K82" i="102"/>
  <c r="J82" i="102"/>
  <c r="K98" i="102"/>
  <c r="I98" i="102"/>
  <c r="J98" i="102"/>
  <c r="K106" i="102"/>
  <c r="I106" i="102"/>
  <c r="J106" i="102"/>
  <c r="I64" i="102"/>
  <c r="K64" i="102"/>
  <c r="J64" i="102"/>
  <c r="J77" i="102"/>
  <c r="I77" i="102"/>
  <c r="K77" i="102"/>
  <c r="K80" i="102"/>
  <c r="J80" i="102"/>
  <c r="I80" i="102"/>
  <c r="I96" i="102"/>
  <c r="K96" i="102"/>
  <c r="J96" i="102"/>
  <c r="K83" i="102"/>
  <c r="J83" i="102"/>
  <c r="I83" i="102"/>
  <c r="J101" i="102"/>
  <c r="K101" i="102"/>
  <c r="I101" i="102"/>
  <c r="J89" i="102"/>
  <c r="K89" i="102"/>
  <c r="I89" i="102"/>
  <c r="J103" i="102"/>
  <c r="K103" i="102"/>
  <c r="I103" i="102"/>
  <c r="J63" i="102"/>
  <c r="I63" i="102"/>
  <c r="K63" i="102"/>
  <c r="K58" i="102"/>
  <c r="K57" i="102"/>
  <c r="B33" i="102"/>
  <c r="U6" i="102"/>
  <c r="V6" i="102" s="1"/>
  <c r="K86" i="102"/>
  <c r="I86" i="102"/>
  <c r="J86" i="102"/>
  <c r="I100" i="102"/>
  <c r="K100" i="102"/>
  <c r="J100" i="102"/>
  <c r="I108" i="102"/>
  <c r="K108" i="102"/>
  <c r="J108" i="102"/>
  <c r="I68" i="102"/>
  <c r="J68" i="102"/>
  <c r="K68" i="102"/>
  <c r="J81" i="102"/>
  <c r="I81" i="102"/>
  <c r="K81" i="102"/>
  <c r="K65" i="102"/>
  <c r="I65" i="102"/>
  <c r="J65" i="102"/>
  <c r="K84" i="102"/>
  <c r="J84" i="102"/>
  <c r="I84" i="102"/>
  <c r="K71" i="102"/>
  <c r="I71" i="102"/>
  <c r="J71" i="102"/>
  <c r="J87" i="102"/>
  <c r="K87" i="102"/>
  <c r="I87" i="102"/>
  <c r="J105" i="102"/>
  <c r="K105" i="102"/>
  <c r="I105" i="102"/>
  <c r="J93" i="102"/>
  <c r="K93" i="102"/>
  <c r="I93" i="102"/>
  <c r="J107" i="102"/>
  <c r="K107" i="102"/>
  <c r="I107" i="102"/>
  <c r="I70" i="102"/>
  <c r="K70" i="102"/>
  <c r="J70" i="102"/>
  <c r="J67" i="102"/>
  <c r="I67" i="102"/>
  <c r="K67" i="102"/>
  <c r="I74" i="102"/>
  <c r="K74" i="102"/>
  <c r="J74" i="102"/>
  <c r="K90" i="102"/>
  <c r="I90" i="102"/>
  <c r="J90" i="102"/>
  <c r="K102" i="102"/>
  <c r="I102" i="102"/>
  <c r="J102" i="102"/>
  <c r="K110" i="102"/>
  <c r="I110" i="102"/>
  <c r="J110" i="102"/>
  <c r="J69" i="102"/>
  <c r="I69" i="102"/>
  <c r="K69" i="102"/>
  <c r="J85" i="102"/>
  <c r="I85" i="102"/>
  <c r="K85" i="102"/>
  <c r="K72" i="102"/>
  <c r="I72" i="102"/>
  <c r="J72" i="102"/>
  <c r="I88" i="102"/>
  <c r="K88" i="102"/>
  <c r="J88" i="102"/>
  <c r="K75" i="102"/>
  <c r="I75" i="102"/>
  <c r="J75" i="102"/>
  <c r="J91" i="102"/>
  <c r="K91" i="102"/>
  <c r="I91" i="102"/>
  <c r="J109" i="102"/>
  <c r="K109" i="102"/>
  <c r="I109" i="102"/>
  <c r="J97" i="102"/>
  <c r="K97" i="102"/>
  <c r="I97" i="102"/>
  <c r="J111" i="102"/>
  <c r="K111" i="102"/>
  <c r="I111" i="102"/>
  <c r="T76" i="101"/>
  <c r="W29" i="101"/>
  <c r="T77" i="101"/>
  <c r="T55" i="101"/>
  <c r="T54" i="101"/>
  <c r="W18" i="101"/>
  <c r="I71" i="101"/>
  <c r="J71" i="101"/>
  <c r="K71" i="101"/>
  <c r="I106" i="101"/>
  <c r="J106" i="101"/>
  <c r="K106" i="101"/>
  <c r="I65" i="101"/>
  <c r="J65" i="101"/>
  <c r="K65" i="101"/>
  <c r="J107" i="101"/>
  <c r="K107" i="101"/>
  <c r="I107" i="101"/>
  <c r="I82" i="101"/>
  <c r="J82" i="101"/>
  <c r="K82" i="101"/>
  <c r="J97" i="101"/>
  <c r="K97" i="101"/>
  <c r="I97" i="101"/>
  <c r="T65" i="101"/>
  <c r="W23" i="101"/>
  <c r="T64" i="101"/>
  <c r="J103" i="101"/>
  <c r="K103" i="101"/>
  <c r="I103" i="101"/>
  <c r="K92" i="101"/>
  <c r="I92" i="101"/>
  <c r="J92" i="101"/>
  <c r="K63" i="101"/>
  <c r="I63" i="101"/>
  <c r="J63" i="101"/>
  <c r="T72" i="101"/>
  <c r="T73" i="101"/>
  <c r="W27" i="101"/>
  <c r="T48" i="101"/>
  <c r="V15" i="101"/>
  <c r="X15" i="101" s="1"/>
  <c r="T49" i="101"/>
  <c r="V16" i="101" a="1"/>
  <c r="W15" i="101"/>
  <c r="I75" i="101"/>
  <c r="K75" i="101"/>
  <c r="J75" i="101"/>
  <c r="K112" i="101"/>
  <c r="I112" i="101"/>
  <c r="J112" i="101"/>
  <c r="I70" i="101"/>
  <c r="K70" i="101"/>
  <c r="J70" i="101"/>
  <c r="T59" i="101"/>
  <c r="W20" i="101"/>
  <c r="T58" i="101"/>
  <c r="K108" i="101"/>
  <c r="I108" i="101"/>
  <c r="J108" i="101"/>
  <c r="K84" i="101"/>
  <c r="I84" i="101"/>
  <c r="J84" i="101"/>
  <c r="I102" i="101"/>
  <c r="J102" i="101"/>
  <c r="K102" i="101"/>
  <c r="I101" i="101"/>
  <c r="J101" i="101"/>
  <c r="K101" i="101"/>
  <c r="J85" i="101"/>
  <c r="K85" i="101"/>
  <c r="I85" i="101"/>
  <c r="I94" i="101"/>
  <c r="K94" i="101"/>
  <c r="J94" i="101"/>
  <c r="J68" i="101"/>
  <c r="K68" i="101"/>
  <c r="I68" i="101"/>
  <c r="K113" i="101"/>
  <c r="J113" i="101"/>
  <c r="I113" i="101"/>
  <c r="K100" i="101"/>
  <c r="I100" i="101"/>
  <c r="J100" i="101"/>
  <c r="I110" i="101"/>
  <c r="J110" i="101"/>
  <c r="K110" i="101"/>
  <c r="J89" i="101"/>
  <c r="K89" i="101"/>
  <c r="I89" i="101"/>
  <c r="T93" i="101"/>
  <c r="W37" i="101"/>
  <c r="T92" i="101"/>
  <c r="W33" i="101"/>
  <c r="T85" i="101"/>
  <c r="T84" i="101"/>
  <c r="I66" i="101"/>
  <c r="J66" i="101"/>
  <c r="K66" i="101"/>
  <c r="I90" i="101"/>
  <c r="J90" i="101"/>
  <c r="K90" i="101"/>
  <c r="T90" i="101"/>
  <c r="T91" i="101"/>
  <c r="W36" i="101"/>
  <c r="J105" i="101"/>
  <c r="K105" i="101"/>
  <c r="I105" i="101"/>
  <c r="J93" i="101"/>
  <c r="K93" i="101"/>
  <c r="I93" i="101"/>
  <c r="K96" i="101"/>
  <c r="I96" i="101"/>
  <c r="J96" i="101"/>
  <c r="J73" i="101"/>
  <c r="K73" i="101"/>
  <c r="I73" i="101"/>
  <c r="W34" i="101"/>
  <c r="I83" i="101"/>
  <c r="K83" i="101"/>
  <c r="J83" i="101"/>
  <c r="I78" i="101"/>
  <c r="J78" i="101"/>
  <c r="K78" i="101"/>
  <c r="J81" i="101"/>
  <c r="K81" i="101"/>
  <c r="I81" i="101"/>
  <c r="I95" i="101"/>
  <c r="J95" i="101"/>
  <c r="K95" i="101"/>
  <c r="J77" i="101"/>
  <c r="K77" i="101"/>
  <c r="I77" i="101"/>
  <c r="K88" i="101"/>
  <c r="I88" i="101"/>
  <c r="J88" i="101"/>
  <c r="J64" i="101"/>
  <c r="K64" i="101"/>
  <c r="I64" i="101"/>
  <c r="T53" i="101"/>
  <c r="T52" i="101"/>
  <c r="W17" i="101"/>
  <c r="I109" i="101"/>
  <c r="J109" i="101"/>
  <c r="K109" i="101"/>
  <c r="J99" i="101"/>
  <c r="K99" i="101"/>
  <c r="I99" i="101"/>
  <c r="K104" i="101"/>
  <c r="J104" i="101"/>
  <c r="I104" i="101"/>
  <c r="I74" i="101"/>
  <c r="J74" i="101"/>
  <c r="K74" i="101"/>
  <c r="T70" i="101"/>
  <c r="T71" i="101"/>
  <c r="W26" i="101"/>
  <c r="T82" i="101"/>
  <c r="T83" i="101"/>
  <c r="W32" i="101"/>
  <c r="I87" i="101"/>
  <c r="J87" i="101"/>
  <c r="K87" i="101"/>
  <c r="K80" i="101"/>
  <c r="I80" i="101"/>
  <c r="J80" i="101"/>
  <c r="J57" i="101"/>
  <c r="J58" i="101"/>
  <c r="U4" i="101"/>
  <c r="V4" i="101" s="1"/>
  <c r="J111" i="101"/>
  <c r="K111" i="101"/>
  <c r="I111" i="101"/>
  <c r="I98" i="101"/>
  <c r="J98" i="101"/>
  <c r="K98" i="101"/>
  <c r="K67" i="101"/>
  <c r="I67" i="101"/>
  <c r="J67" i="101"/>
  <c r="T78" i="101"/>
  <c r="T79" i="101"/>
  <c r="W30" i="101"/>
  <c r="I79" i="101"/>
  <c r="J79" i="101"/>
  <c r="K79" i="101"/>
  <c r="K72" i="101"/>
  <c r="I72" i="101"/>
  <c r="J72" i="101"/>
  <c r="K76" i="101"/>
  <c r="I76" i="101"/>
  <c r="J76" i="101"/>
  <c r="T94" i="101"/>
  <c r="T95" i="101"/>
  <c r="W38" i="101"/>
  <c r="I91" i="101"/>
  <c r="K91" i="101"/>
  <c r="J91" i="101"/>
  <c r="J69" i="101"/>
  <c r="K69" i="101"/>
  <c r="I69" i="101"/>
  <c r="I86" i="101"/>
  <c r="K86" i="101"/>
  <c r="J86" i="101"/>
  <c r="K58" i="101"/>
  <c r="K57" i="101"/>
  <c r="B33" i="101"/>
  <c r="U6" i="101"/>
  <c r="V6" i="101" s="1"/>
  <c r="K69" i="100"/>
  <c r="I69" i="100"/>
  <c r="J69" i="100"/>
  <c r="J91" i="100"/>
  <c r="I91" i="100"/>
  <c r="K91" i="100"/>
  <c r="K98" i="100"/>
  <c r="I98" i="100"/>
  <c r="J98" i="100"/>
  <c r="J97" i="100"/>
  <c r="I97" i="100"/>
  <c r="K97" i="100"/>
  <c r="K90" i="100"/>
  <c r="J90" i="100"/>
  <c r="I90" i="100"/>
  <c r="J71" i="100"/>
  <c r="I71" i="100"/>
  <c r="K71" i="100"/>
  <c r="J107" i="100"/>
  <c r="I107" i="100"/>
  <c r="K107" i="100"/>
  <c r="K110" i="100"/>
  <c r="I110" i="100"/>
  <c r="J110" i="100"/>
  <c r="J83" i="100"/>
  <c r="I83" i="100"/>
  <c r="K83" i="100"/>
  <c r="K66" i="100"/>
  <c r="J66" i="100"/>
  <c r="I66" i="100"/>
  <c r="V40" i="100"/>
  <c r="X40" i="100" s="1"/>
  <c r="U97" i="100" s="1"/>
  <c r="V36" i="100"/>
  <c r="X36" i="100" s="1"/>
  <c r="V32" i="100"/>
  <c r="X32" i="100" s="1"/>
  <c r="V28" i="100"/>
  <c r="X28" i="100" s="1"/>
  <c r="V24" i="100"/>
  <c r="X24" i="100" s="1"/>
  <c r="V20" i="100"/>
  <c r="X20" i="100" s="1"/>
  <c r="V16" i="100"/>
  <c r="X16" i="100" s="1"/>
  <c r="V39" i="100"/>
  <c r="X39" i="100" s="1"/>
  <c r="V35" i="100"/>
  <c r="X35" i="100" s="1"/>
  <c r="V31" i="100"/>
  <c r="X31" i="100" s="1"/>
  <c r="V27" i="100"/>
  <c r="X27" i="100" s="1"/>
  <c r="V23" i="100"/>
  <c r="X23" i="100" s="1"/>
  <c r="V19" i="100"/>
  <c r="X19" i="100" s="1"/>
  <c r="V38" i="100"/>
  <c r="X38" i="100" s="1"/>
  <c r="V34" i="100"/>
  <c r="X34" i="100" s="1"/>
  <c r="V30" i="100"/>
  <c r="X30" i="100" s="1"/>
  <c r="V26" i="100"/>
  <c r="X26" i="100" s="1"/>
  <c r="V22" i="100"/>
  <c r="X22" i="100" s="1"/>
  <c r="V18" i="100"/>
  <c r="X18" i="100" s="1"/>
  <c r="V37" i="100"/>
  <c r="X37" i="100" s="1"/>
  <c r="V33" i="100"/>
  <c r="X33" i="100" s="1"/>
  <c r="V29" i="100"/>
  <c r="X29" i="100" s="1"/>
  <c r="V25" i="100"/>
  <c r="X25" i="100" s="1"/>
  <c r="V21" i="100"/>
  <c r="X21" i="100" s="1"/>
  <c r="V17" i="100"/>
  <c r="X17" i="100" s="1"/>
  <c r="J105" i="100"/>
  <c r="K105" i="100"/>
  <c r="I105" i="100"/>
  <c r="I96" i="100"/>
  <c r="K96" i="100"/>
  <c r="J96" i="100"/>
  <c r="I100" i="100"/>
  <c r="K100" i="100"/>
  <c r="J100" i="100"/>
  <c r="J101" i="100"/>
  <c r="K101" i="100"/>
  <c r="I101" i="100"/>
  <c r="J75" i="100"/>
  <c r="I75" i="100"/>
  <c r="K75" i="100"/>
  <c r="J58" i="100"/>
  <c r="U4" i="100"/>
  <c r="V4" i="100" s="1"/>
  <c r="J57" i="100"/>
  <c r="K81" i="100"/>
  <c r="J81" i="100"/>
  <c r="I81" i="100"/>
  <c r="K74" i="100"/>
  <c r="J74" i="100"/>
  <c r="I74" i="100"/>
  <c r="I84" i="100"/>
  <c r="K84" i="100"/>
  <c r="J84" i="100"/>
  <c r="J67" i="100"/>
  <c r="I67" i="100"/>
  <c r="K67" i="100"/>
  <c r="J93" i="100"/>
  <c r="I93" i="100"/>
  <c r="K93" i="100"/>
  <c r="K86" i="100"/>
  <c r="J86" i="100"/>
  <c r="I86" i="100"/>
  <c r="I64" i="100"/>
  <c r="J64" i="100"/>
  <c r="K64" i="100"/>
  <c r="I68" i="100"/>
  <c r="K68" i="100"/>
  <c r="J68" i="100"/>
  <c r="J103" i="100"/>
  <c r="I103" i="100"/>
  <c r="K103" i="100"/>
  <c r="K106" i="100"/>
  <c r="I106" i="100"/>
  <c r="J106" i="100"/>
  <c r="J79" i="100"/>
  <c r="I79" i="100"/>
  <c r="K79" i="100"/>
  <c r="K58" i="100"/>
  <c r="B33" i="100"/>
  <c r="U6" i="100"/>
  <c r="V6" i="100" s="1"/>
  <c r="K57" i="100"/>
  <c r="J99" i="100"/>
  <c r="K99" i="100"/>
  <c r="I99" i="100"/>
  <c r="K102" i="100"/>
  <c r="I102" i="100"/>
  <c r="J102" i="100"/>
  <c r="I88" i="100"/>
  <c r="K88" i="100"/>
  <c r="J88" i="100"/>
  <c r="J113" i="100"/>
  <c r="K113" i="100"/>
  <c r="I113" i="100"/>
  <c r="I112" i="100"/>
  <c r="K112" i="100"/>
  <c r="J112" i="100"/>
  <c r="K77" i="100"/>
  <c r="J77" i="100"/>
  <c r="I77" i="100"/>
  <c r="K70" i="100"/>
  <c r="J70" i="100"/>
  <c r="I70" i="100"/>
  <c r="I80" i="100"/>
  <c r="K80" i="100"/>
  <c r="J80" i="100"/>
  <c r="J63" i="100"/>
  <c r="I63" i="100"/>
  <c r="K63" i="100"/>
  <c r="U48" i="100"/>
  <c r="U47" i="100"/>
  <c r="K89" i="100"/>
  <c r="J89" i="100"/>
  <c r="I89" i="100"/>
  <c r="K82" i="100"/>
  <c r="J82" i="100"/>
  <c r="I82" i="100"/>
  <c r="I92" i="100"/>
  <c r="K92" i="100"/>
  <c r="J92" i="100"/>
  <c r="K85" i="100"/>
  <c r="J85" i="100"/>
  <c r="I85" i="100"/>
  <c r="K78" i="100"/>
  <c r="J78" i="100"/>
  <c r="I78" i="100"/>
  <c r="I72" i="100"/>
  <c r="K72" i="100"/>
  <c r="J72" i="100"/>
  <c r="J111" i="100"/>
  <c r="I111" i="100"/>
  <c r="K111" i="100"/>
  <c r="J95" i="100"/>
  <c r="K95" i="100"/>
  <c r="I95" i="100"/>
  <c r="J87" i="100"/>
  <c r="I87" i="100"/>
  <c r="K87" i="100"/>
  <c r="K94" i="100"/>
  <c r="I94" i="100"/>
  <c r="J94" i="100"/>
  <c r="J109" i="100"/>
  <c r="K109" i="100"/>
  <c r="I109" i="100"/>
  <c r="I108" i="100"/>
  <c r="K108" i="100"/>
  <c r="J108" i="100"/>
  <c r="I104" i="100"/>
  <c r="K104" i="100"/>
  <c r="J104" i="100"/>
  <c r="K73" i="100"/>
  <c r="J73" i="100"/>
  <c r="I73" i="100"/>
  <c r="K65" i="100"/>
  <c r="I65" i="100"/>
  <c r="J65" i="100"/>
  <c r="I76" i="100"/>
  <c r="K76" i="100"/>
  <c r="J76" i="100"/>
  <c r="K64" i="99"/>
  <c r="I64" i="99"/>
  <c r="J64" i="99"/>
  <c r="K70" i="99"/>
  <c r="J70" i="99"/>
  <c r="I70" i="99"/>
  <c r="K86" i="99"/>
  <c r="J86" i="99"/>
  <c r="I86" i="99"/>
  <c r="I67" i="99"/>
  <c r="J67" i="99"/>
  <c r="K67" i="99"/>
  <c r="I80" i="99"/>
  <c r="J80" i="99"/>
  <c r="K80" i="99"/>
  <c r="J95" i="99"/>
  <c r="K95" i="99"/>
  <c r="I95" i="99"/>
  <c r="J75" i="99"/>
  <c r="I75" i="99"/>
  <c r="K75" i="99"/>
  <c r="J91" i="99"/>
  <c r="K91" i="99"/>
  <c r="I91" i="99"/>
  <c r="K102" i="99"/>
  <c r="I102" i="99"/>
  <c r="J102" i="99"/>
  <c r="J105" i="99"/>
  <c r="K105" i="99"/>
  <c r="I105" i="99"/>
  <c r="K73" i="99"/>
  <c r="J73" i="99"/>
  <c r="I73" i="99"/>
  <c r="K89" i="99"/>
  <c r="J89" i="99"/>
  <c r="I89" i="99"/>
  <c r="J103" i="99"/>
  <c r="I103" i="99"/>
  <c r="K103" i="99"/>
  <c r="K74" i="99"/>
  <c r="J74" i="99"/>
  <c r="I74" i="99"/>
  <c r="K90" i="99"/>
  <c r="J90" i="99"/>
  <c r="I90" i="99"/>
  <c r="I68" i="99"/>
  <c r="J68" i="99"/>
  <c r="K68" i="99"/>
  <c r="I84" i="99"/>
  <c r="J84" i="99"/>
  <c r="K84" i="99"/>
  <c r="I100" i="99"/>
  <c r="K100" i="99"/>
  <c r="J100" i="99"/>
  <c r="J79" i="99"/>
  <c r="I79" i="99"/>
  <c r="K79" i="99"/>
  <c r="I96" i="99"/>
  <c r="K96" i="99"/>
  <c r="J96" i="99"/>
  <c r="K106" i="99"/>
  <c r="I106" i="99"/>
  <c r="J106" i="99"/>
  <c r="J109" i="99"/>
  <c r="K109" i="99"/>
  <c r="I109" i="99"/>
  <c r="K77" i="99"/>
  <c r="J77" i="99"/>
  <c r="I77" i="99"/>
  <c r="I93" i="99"/>
  <c r="K93" i="99"/>
  <c r="J93" i="99"/>
  <c r="J107" i="99"/>
  <c r="I107" i="99"/>
  <c r="K107" i="99"/>
  <c r="K58" i="99"/>
  <c r="B33" i="99"/>
  <c r="U6" i="99"/>
  <c r="V6" i="99" s="1"/>
  <c r="K57" i="99"/>
  <c r="K78" i="99"/>
  <c r="J78" i="99"/>
  <c r="I78" i="99"/>
  <c r="I104" i="99"/>
  <c r="K104" i="99"/>
  <c r="J104" i="99"/>
  <c r="I72" i="99"/>
  <c r="J72" i="99"/>
  <c r="K72" i="99"/>
  <c r="I88" i="99"/>
  <c r="J88" i="99"/>
  <c r="K88" i="99"/>
  <c r="I108" i="99"/>
  <c r="K108" i="99"/>
  <c r="J108" i="99"/>
  <c r="J83" i="99"/>
  <c r="I83" i="99"/>
  <c r="K83" i="99"/>
  <c r="K94" i="99"/>
  <c r="J94" i="99"/>
  <c r="I94" i="99"/>
  <c r="K110" i="99"/>
  <c r="I110" i="99"/>
  <c r="J110" i="99"/>
  <c r="J113" i="99"/>
  <c r="K113" i="99"/>
  <c r="I113" i="99"/>
  <c r="K81" i="99"/>
  <c r="J81" i="99"/>
  <c r="I81" i="99"/>
  <c r="J97" i="99"/>
  <c r="I97" i="99"/>
  <c r="K97" i="99"/>
  <c r="J111" i="99"/>
  <c r="I111" i="99"/>
  <c r="K111" i="99"/>
  <c r="J57" i="99"/>
  <c r="J58" i="99"/>
  <c r="U4" i="99"/>
  <c r="V4" i="99" s="1"/>
  <c r="J66" i="99"/>
  <c r="I66" i="99"/>
  <c r="K66" i="99"/>
  <c r="K65" i="99"/>
  <c r="J65" i="99"/>
  <c r="I65" i="99"/>
  <c r="K82" i="99"/>
  <c r="J82" i="99"/>
  <c r="I82" i="99"/>
  <c r="I112" i="99"/>
  <c r="K112" i="99"/>
  <c r="J112" i="99"/>
  <c r="J63" i="99"/>
  <c r="K63" i="99"/>
  <c r="I63" i="99"/>
  <c r="I76" i="99"/>
  <c r="J76" i="99"/>
  <c r="K76" i="99"/>
  <c r="I92" i="99"/>
  <c r="J92" i="99"/>
  <c r="K92" i="99"/>
  <c r="J71" i="99"/>
  <c r="I71" i="99"/>
  <c r="K71" i="99"/>
  <c r="J87" i="99"/>
  <c r="I87" i="99"/>
  <c r="K87" i="99"/>
  <c r="K98" i="99"/>
  <c r="I98" i="99"/>
  <c r="J98" i="99"/>
  <c r="J101" i="99"/>
  <c r="K101" i="99"/>
  <c r="I101" i="99"/>
  <c r="K69" i="99"/>
  <c r="J69" i="99"/>
  <c r="I69" i="99"/>
  <c r="K85" i="99"/>
  <c r="J85" i="99"/>
  <c r="I85" i="99"/>
  <c r="J99" i="99"/>
  <c r="I99" i="99"/>
  <c r="K99" i="99"/>
  <c r="T70" i="98"/>
  <c r="T71" i="98"/>
  <c r="W26" i="98"/>
  <c r="T58" i="98"/>
  <c r="W20" i="98"/>
  <c r="T59" i="98"/>
  <c r="J89" i="98"/>
  <c r="K89" i="98"/>
  <c r="I89" i="98"/>
  <c r="J71" i="98"/>
  <c r="K71" i="98"/>
  <c r="I71" i="98"/>
  <c r="I68" i="98"/>
  <c r="J68" i="98"/>
  <c r="K68" i="98"/>
  <c r="J57" i="98"/>
  <c r="J58" i="98"/>
  <c r="U4" i="98"/>
  <c r="V4" i="98" s="1"/>
  <c r="T94" i="98"/>
  <c r="T95" i="98"/>
  <c r="W38" i="98"/>
  <c r="J99" i="98"/>
  <c r="I99" i="98"/>
  <c r="K99" i="98"/>
  <c r="J83" i="98"/>
  <c r="K83" i="98"/>
  <c r="I83" i="98"/>
  <c r="K78" i="98"/>
  <c r="I78" i="98"/>
  <c r="J78" i="98"/>
  <c r="K64" i="98"/>
  <c r="I64" i="98"/>
  <c r="J64" i="98"/>
  <c r="T76" i="98"/>
  <c r="T77" i="98"/>
  <c r="W29" i="98"/>
  <c r="J111" i="98"/>
  <c r="I111" i="98"/>
  <c r="K111" i="98"/>
  <c r="J95" i="98"/>
  <c r="K95" i="98"/>
  <c r="I95" i="98"/>
  <c r="K90" i="98"/>
  <c r="I90" i="98"/>
  <c r="J90" i="98"/>
  <c r="I80" i="98"/>
  <c r="K80" i="98"/>
  <c r="J80" i="98"/>
  <c r="T86" i="98"/>
  <c r="T87" i="98"/>
  <c r="W34" i="98"/>
  <c r="J107" i="98"/>
  <c r="I107" i="98"/>
  <c r="K107" i="98"/>
  <c r="J91" i="98"/>
  <c r="K91" i="98"/>
  <c r="I91" i="98"/>
  <c r="K86" i="98"/>
  <c r="I86" i="98"/>
  <c r="J86" i="98"/>
  <c r="I76" i="98"/>
  <c r="K76" i="98"/>
  <c r="J76" i="98"/>
  <c r="T96" i="98"/>
  <c r="T97" i="98"/>
  <c r="W39" i="98"/>
  <c r="J73" i="98"/>
  <c r="K73" i="98"/>
  <c r="I73" i="98"/>
  <c r="K106" i="98"/>
  <c r="I106" i="98"/>
  <c r="J106" i="98"/>
  <c r="J65" i="98"/>
  <c r="K65" i="98"/>
  <c r="I65" i="98"/>
  <c r="T80" i="98"/>
  <c r="T81" i="98"/>
  <c r="W31" i="98"/>
  <c r="T57" i="98"/>
  <c r="W19" i="98"/>
  <c r="T56" i="98"/>
  <c r="J85" i="98"/>
  <c r="K85" i="98"/>
  <c r="I85" i="98"/>
  <c r="I112" i="98"/>
  <c r="K112" i="98"/>
  <c r="J112" i="98"/>
  <c r="I67" i="98"/>
  <c r="K67" i="98"/>
  <c r="J67" i="98"/>
  <c r="I66" i="98"/>
  <c r="J66" i="98"/>
  <c r="K66" i="98"/>
  <c r="T82" i="98"/>
  <c r="T83" i="98"/>
  <c r="W32" i="98"/>
  <c r="J97" i="98"/>
  <c r="K97" i="98"/>
  <c r="I97" i="98"/>
  <c r="J79" i="98"/>
  <c r="K79" i="98"/>
  <c r="I79" i="98"/>
  <c r="K74" i="98"/>
  <c r="I74" i="98"/>
  <c r="J74" i="98"/>
  <c r="T68" i="98"/>
  <c r="W25" i="98"/>
  <c r="T69" i="98"/>
  <c r="J93" i="98"/>
  <c r="K93" i="98"/>
  <c r="I93" i="98"/>
  <c r="J75" i="98"/>
  <c r="K75" i="98"/>
  <c r="I75" i="98"/>
  <c r="K70" i="98"/>
  <c r="I70" i="98"/>
  <c r="J70" i="98"/>
  <c r="K57" i="98"/>
  <c r="B33" i="98"/>
  <c r="K58" i="98"/>
  <c r="U6" i="98"/>
  <c r="V6" i="98" s="1"/>
  <c r="T74" i="98"/>
  <c r="T75" i="98"/>
  <c r="W28" i="98"/>
  <c r="J105" i="98"/>
  <c r="I105" i="98"/>
  <c r="K105" i="98"/>
  <c r="K98" i="98"/>
  <c r="I98" i="98"/>
  <c r="J98" i="98"/>
  <c r="I88" i="98"/>
  <c r="K88" i="98"/>
  <c r="J88" i="98"/>
  <c r="T66" i="98"/>
  <c r="T67" i="98"/>
  <c r="W24" i="98"/>
  <c r="T88" i="98"/>
  <c r="W35" i="98"/>
  <c r="T89" i="98"/>
  <c r="J69" i="98"/>
  <c r="K69" i="98"/>
  <c r="I69" i="98"/>
  <c r="I104" i="98"/>
  <c r="K104" i="98"/>
  <c r="J104" i="98"/>
  <c r="T78" i="98"/>
  <c r="T79" i="98"/>
  <c r="W30" i="98"/>
  <c r="T54" i="98"/>
  <c r="W18" i="98"/>
  <c r="T55" i="98"/>
  <c r="J81" i="98"/>
  <c r="K81" i="98"/>
  <c r="I81" i="98"/>
  <c r="K110" i="98"/>
  <c r="I110" i="98"/>
  <c r="J110" i="98"/>
  <c r="I63" i="98"/>
  <c r="K63" i="98"/>
  <c r="J63" i="98"/>
  <c r="T72" i="98"/>
  <c r="T73" i="98"/>
  <c r="W27" i="98"/>
  <c r="T50" i="98"/>
  <c r="W16" i="98"/>
  <c r="T51" i="98"/>
  <c r="J77" i="98"/>
  <c r="K77" i="98"/>
  <c r="I77" i="98"/>
  <c r="I108" i="98"/>
  <c r="K108" i="98"/>
  <c r="J108" i="98"/>
  <c r="T90" i="98"/>
  <c r="T91" i="98"/>
  <c r="W36" i="98"/>
  <c r="T61" i="98"/>
  <c r="T60" i="98"/>
  <c r="W21" i="98"/>
  <c r="J103" i="98"/>
  <c r="I103" i="98"/>
  <c r="K103" i="98"/>
  <c r="J87" i="98"/>
  <c r="K87" i="98"/>
  <c r="I87" i="98"/>
  <c r="K82" i="98"/>
  <c r="I82" i="98"/>
  <c r="J82" i="98"/>
  <c r="I72" i="98"/>
  <c r="K72" i="98"/>
  <c r="J72" i="98"/>
  <c r="T92" i="98"/>
  <c r="T93" i="98"/>
  <c r="W37" i="98"/>
  <c r="T62" i="98"/>
  <c r="W22" i="98"/>
  <c r="T63" i="98"/>
  <c r="J101" i="98"/>
  <c r="I101" i="98"/>
  <c r="K101" i="98"/>
  <c r="K94" i="98"/>
  <c r="I94" i="98"/>
  <c r="J94" i="98"/>
  <c r="I84" i="98"/>
  <c r="K84" i="98"/>
  <c r="J84" i="98"/>
  <c r="T65" i="98"/>
  <c r="T64" i="98"/>
  <c r="W23" i="98"/>
  <c r="T84" i="98"/>
  <c r="W33" i="98"/>
  <c r="T85" i="98"/>
  <c r="J113" i="98"/>
  <c r="I113" i="98"/>
  <c r="K113" i="98"/>
  <c r="K102" i="98"/>
  <c r="I102" i="98"/>
  <c r="J102" i="98"/>
  <c r="I96" i="98"/>
  <c r="K96" i="98"/>
  <c r="J96" i="98"/>
  <c r="T53" i="98"/>
  <c r="T52" i="98"/>
  <c r="W17" i="98"/>
  <c r="V15" i="98"/>
  <c r="X15" i="98" s="1"/>
  <c r="T49" i="98"/>
  <c r="V16" i="98" a="1"/>
  <c r="T48" i="98"/>
  <c r="W15" i="98"/>
  <c r="J109" i="98"/>
  <c r="I109" i="98"/>
  <c r="K109" i="98"/>
  <c r="I100" i="98"/>
  <c r="K100" i="98"/>
  <c r="J100" i="98"/>
  <c r="I92" i="98"/>
  <c r="K92" i="98"/>
  <c r="J92" i="98"/>
  <c r="K57" i="97"/>
  <c r="B33" i="97"/>
  <c r="U6" i="97"/>
  <c r="V6" i="97" s="1"/>
  <c r="K58" i="97"/>
  <c r="K74" i="97"/>
  <c r="J74" i="97"/>
  <c r="I74" i="97"/>
  <c r="K94" i="97"/>
  <c r="J94" i="97"/>
  <c r="I94" i="97"/>
  <c r="I104" i="97"/>
  <c r="K104" i="97"/>
  <c r="J104" i="97"/>
  <c r="I112" i="97"/>
  <c r="K112" i="97"/>
  <c r="J112" i="97"/>
  <c r="I72" i="97"/>
  <c r="J72" i="97"/>
  <c r="K72" i="97"/>
  <c r="I88" i="97"/>
  <c r="J88" i="97"/>
  <c r="K88" i="97"/>
  <c r="K64" i="97"/>
  <c r="I64" i="97"/>
  <c r="J64" i="97"/>
  <c r="J83" i="97"/>
  <c r="K83" i="97"/>
  <c r="I83" i="97"/>
  <c r="J105" i="97"/>
  <c r="K105" i="97"/>
  <c r="I105" i="97"/>
  <c r="K73" i="97"/>
  <c r="J73" i="97"/>
  <c r="I73" i="97"/>
  <c r="K89" i="97"/>
  <c r="J89" i="97"/>
  <c r="I89" i="97"/>
  <c r="K103" i="97"/>
  <c r="J103" i="97"/>
  <c r="I103" i="97"/>
  <c r="T91" i="97"/>
  <c r="W36" i="97"/>
  <c r="T90" i="97"/>
  <c r="T71" i="97"/>
  <c r="W26" i="97"/>
  <c r="T70" i="97"/>
  <c r="T83" i="97"/>
  <c r="W32" i="97"/>
  <c r="T82" i="97"/>
  <c r="T57" i="97"/>
  <c r="T56" i="97"/>
  <c r="W19" i="97"/>
  <c r="T72" i="97"/>
  <c r="W27" i="97"/>
  <c r="T73" i="97"/>
  <c r="T61" i="97"/>
  <c r="T60" i="97"/>
  <c r="W21" i="97"/>
  <c r="K78" i="97"/>
  <c r="J78" i="97"/>
  <c r="I78" i="97"/>
  <c r="J58" i="97"/>
  <c r="J57" i="97"/>
  <c r="U4" i="97"/>
  <c r="V4" i="97" s="1"/>
  <c r="K90" i="97"/>
  <c r="J90" i="97"/>
  <c r="I90" i="97"/>
  <c r="K106" i="97"/>
  <c r="I106" i="97"/>
  <c r="J106" i="97"/>
  <c r="I63" i="97"/>
  <c r="K63" i="97"/>
  <c r="J63" i="97"/>
  <c r="I76" i="97"/>
  <c r="J76" i="97"/>
  <c r="K76" i="97"/>
  <c r="I92" i="97"/>
  <c r="J92" i="97"/>
  <c r="K92" i="97"/>
  <c r="J71" i="97"/>
  <c r="K71" i="97"/>
  <c r="I71" i="97"/>
  <c r="J87" i="97"/>
  <c r="K87" i="97"/>
  <c r="I87" i="97"/>
  <c r="J109" i="97"/>
  <c r="K109" i="97"/>
  <c r="I109" i="97"/>
  <c r="K77" i="97"/>
  <c r="J77" i="97"/>
  <c r="I77" i="97"/>
  <c r="K93" i="97"/>
  <c r="J93" i="97"/>
  <c r="I93" i="97"/>
  <c r="J107" i="97"/>
  <c r="K107" i="97"/>
  <c r="I107" i="97"/>
  <c r="T63" i="97"/>
  <c r="T62" i="97"/>
  <c r="W22" i="97"/>
  <c r="T95" i="97"/>
  <c r="T94" i="97"/>
  <c r="W38" i="97"/>
  <c r="T75" i="97"/>
  <c r="W28" i="97"/>
  <c r="T74" i="97"/>
  <c r="T84" i="97"/>
  <c r="W33" i="97"/>
  <c r="T85" i="97"/>
  <c r="T58" i="97"/>
  <c r="T59" i="97"/>
  <c r="W20" i="97"/>
  <c r="T79" i="97"/>
  <c r="W30" i="97"/>
  <c r="T78" i="97"/>
  <c r="T76" i="97"/>
  <c r="W29" i="97"/>
  <c r="T77" i="97"/>
  <c r="K65" i="97"/>
  <c r="J65" i="97"/>
  <c r="I65" i="97"/>
  <c r="J66" i="97"/>
  <c r="I66" i="97"/>
  <c r="K66" i="97"/>
  <c r="K82" i="97"/>
  <c r="J82" i="97"/>
  <c r="I82" i="97"/>
  <c r="K98" i="97"/>
  <c r="J98" i="97"/>
  <c r="I98" i="97"/>
  <c r="I108" i="97"/>
  <c r="K108" i="97"/>
  <c r="J108" i="97"/>
  <c r="I67" i="97"/>
  <c r="K67" i="97"/>
  <c r="J67" i="97"/>
  <c r="I80" i="97"/>
  <c r="J80" i="97"/>
  <c r="K80" i="97"/>
  <c r="I96" i="97"/>
  <c r="J96" i="97"/>
  <c r="K96" i="97"/>
  <c r="J75" i="97"/>
  <c r="K75" i="97"/>
  <c r="I75" i="97"/>
  <c r="J91" i="97"/>
  <c r="K91" i="97"/>
  <c r="I91" i="97"/>
  <c r="J113" i="97"/>
  <c r="K113" i="97"/>
  <c r="I113" i="97"/>
  <c r="K81" i="97"/>
  <c r="J81" i="97"/>
  <c r="I81" i="97"/>
  <c r="K97" i="97"/>
  <c r="J97" i="97"/>
  <c r="I97" i="97"/>
  <c r="J111" i="97"/>
  <c r="K111" i="97"/>
  <c r="I111" i="97"/>
  <c r="W23" i="97"/>
  <c r="T65" i="97"/>
  <c r="T64" i="97"/>
  <c r="T96" i="97"/>
  <c r="T97" i="97"/>
  <c r="W39" i="97"/>
  <c r="T80" i="97"/>
  <c r="W31" i="97"/>
  <c r="T81" i="97"/>
  <c r="T49" i="97"/>
  <c r="W15" i="97"/>
  <c r="T48" i="97"/>
  <c r="V16" i="97" a="1"/>
  <c r="V15" i="97"/>
  <c r="X15" i="97" s="1"/>
  <c r="T67" i="97"/>
  <c r="W24" i="97"/>
  <c r="T66" i="97"/>
  <c r="T50" i="97"/>
  <c r="T51" i="97"/>
  <c r="W16" i="97"/>
  <c r="T92" i="97"/>
  <c r="T93" i="97"/>
  <c r="W37" i="97"/>
  <c r="I100" i="97"/>
  <c r="K100" i="97"/>
  <c r="J100" i="97"/>
  <c r="K70" i="97"/>
  <c r="J70" i="97"/>
  <c r="I70" i="97"/>
  <c r="K86" i="97"/>
  <c r="J86" i="97"/>
  <c r="I86" i="97"/>
  <c r="J101" i="97"/>
  <c r="K101" i="97"/>
  <c r="I101" i="97"/>
  <c r="K110" i="97"/>
  <c r="I110" i="97"/>
  <c r="J110" i="97"/>
  <c r="I68" i="97"/>
  <c r="J68" i="97"/>
  <c r="K68" i="97"/>
  <c r="I84" i="97"/>
  <c r="J84" i="97"/>
  <c r="K84" i="97"/>
  <c r="K102" i="97"/>
  <c r="I102" i="97"/>
  <c r="J102" i="97"/>
  <c r="J79" i="97"/>
  <c r="K79" i="97"/>
  <c r="I79" i="97"/>
  <c r="J95" i="97"/>
  <c r="K95" i="97"/>
  <c r="I95" i="97"/>
  <c r="K69" i="97"/>
  <c r="J69" i="97"/>
  <c r="I69" i="97"/>
  <c r="K85" i="97"/>
  <c r="J85" i="97"/>
  <c r="I85" i="97"/>
  <c r="J99" i="97"/>
  <c r="I99" i="97"/>
  <c r="K99" i="97"/>
  <c r="T88" i="97"/>
  <c r="T89" i="97"/>
  <c r="W35" i="97"/>
  <c r="T46" i="97"/>
  <c r="T47" i="97"/>
  <c r="T87" i="97"/>
  <c r="W34" i="97"/>
  <c r="T86" i="97"/>
  <c r="T53" i="97"/>
  <c r="W17" i="97"/>
  <c r="T52" i="97"/>
  <c r="T68" i="97"/>
  <c r="T69" i="97"/>
  <c r="W25" i="97"/>
  <c r="T54" i="97"/>
  <c r="W18" i="97"/>
  <c r="T55" i="97"/>
  <c r="J81" i="96"/>
  <c r="K81" i="96"/>
  <c r="I81" i="96"/>
  <c r="I80" i="96"/>
  <c r="K80" i="96"/>
  <c r="J80" i="96"/>
  <c r="K98" i="96"/>
  <c r="I98" i="96"/>
  <c r="J98" i="96"/>
  <c r="I67" i="96"/>
  <c r="K67" i="96"/>
  <c r="J67" i="96"/>
  <c r="J95" i="96"/>
  <c r="K95" i="96"/>
  <c r="I95" i="96"/>
  <c r="J64" i="96"/>
  <c r="K64" i="96"/>
  <c r="I64" i="96"/>
  <c r="J66" i="96"/>
  <c r="I66" i="96"/>
  <c r="K66" i="96"/>
  <c r="U47" i="96"/>
  <c r="U48" i="96"/>
  <c r="J89" i="96"/>
  <c r="K89" i="96"/>
  <c r="I89" i="96"/>
  <c r="I88" i="96"/>
  <c r="K88" i="96"/>
  <c r="J88" i="96"/>
  <c r="K102" i="96"/>
  <c r="I102" i="96"/>
  <c r="J102" i="96"/>
  <c r="J87" i="96"/>
  <c r="K87" i="96"/>
  <c r="I87" i="96"/>
  <c r="K57" i="96"/>
  <c r="U6" i="96"/>
  <c r="V6" i="96" s="1"/>
  <c r="K58" i="96"/>
  <c r="J101" i="96"/>
  <c r="K101" i="96"/>
  <c r="I101" i="96"/>
  <c r="J68" i="96"/>
  <c r="K68" i="96"/>
  <c r="I68" i="96"/>
  <c r="K82" i="96"/>
  <c r="I82" i="96"/>
  <c r="J82" i="96"/>
  <c r="J107" i="96"/>
  <c r="K107" i="96"/>
  <c r="I107" i="96"/>
  <c r="K79" i="96"/>
  <c r="I79" i="96"/>
  <c r="J79" i="96"/>
  <c r="I112" i="96"/>
  <c r="K112" i="96"/>
  <c r="J112" i="96"/>
  <c r="I78" i="96"/>
  <c r="J78" i="96"/>
  <c r="K78" i="96"/>
  <c r="J109" i="96"/>
  <c r="K109" i="96"/>
  <c r="I109" i="96"/>
  <c r="J73" i="96"/>
  <c r="K73" i="96"/>
  <c r="I73" i="96"/>
  <c r="J99" i="96"/>
  <c r="K99" i="96"/>
  <c r="I99" i="96"/>
  <c r="K71" i="96"/>
  <c r="I71" i="96"/>
  <c r="J71" i="96"/>
  <c r="I108" i="96"/>
  <c r="K108" i="96"/>
  <c r="J108" i="96"/>
  <c r="I74" i="96"/>
  <c r="J74" i="96"/>
  <c r="K74" i="96"/>
  <c r="J111" i="96"/>
  <c r="K111" i="96"/>
  <c r="I111" i="96"/>
  <c r="J83" i="96"/>
  <c r="K83" i="96"/>
  <c r="I83" i="96"/>
  <c r="J93" i="96"/>
  <c r="K93" i="96"/>
  <c r="I93" i="96"/>
  <c r="I92" i="96"/>
  <c r="K92" i="96"/>
  <c r="J92" i="96"/>
  <c r="I104" i="96"/>
  <c r="K104" i="96"/>
  <c r="J104" i="96"/>
  <c r="I70" i="96"/>
  <c r="J70" i="96"/>
  <c r="K70" i="96"/>
  <c r="J91" i="96"/>
  <c r="K91" i="96"/>
  <c r="I91" i="96"/>
  <c r="J85" i="96"/>
  <c r="K85" i="96"/>
  <c r="I85" i="96"/>
  <c r="I84" i="96"/>
  <c r="K84" i="96"/>
  <c r="J84" i="96"/>
  <c r="I100" i="96"/>
  <c r="K100" i="96"/>
  <c r="J100" i="96"/>
  <c r="J97" i="96"/>
  <c r="K97" i="96"/>
  <c r="I97" i="96"/>
  <c r="I96" i="96"/>
  <c r="K96" i="96"/>
  <c r="J96" i="96"/>
  <c r="K106" i="96"/>
  <c r="I106" i="96"/>
  <c r="J106" i="96"/>
  <c r="K72" i="96"/>
  <c r="I72" i="96"/>
  <c r="J72" i="96"/>
  <c r="J113" i="96"/>
  <c r="K113" i="96"/>
  <c r="I113" i="96"/>
  <c r="J77" i="96"/>
  <c r="K77" i="96"/>
  <c r="I77" i="96"/>
  <c r="K94" i="96"/>
  <c r="I94" i="96"/>
  <c r="J94" i="96"/>
  <c r="I63" i="96"/>
  <c r="K63" i="96"/>
  <c r="J63" i="96"/>
  <c r="V38" i="96"/>
  <c r="X38" i="96" s="1"/>
  <c r="V34" i="96"/>
  <c r="X34" i="96" s="1"/>
  <c r="V30" i="96"/>
  <c r="X30" i="96" s="1"/>
  <c r="V26" i="96"/>
  <c r="X26" i="96" s="1"/>
  <c r="V22" i="96"/>
  <c r="X22" i="96" s="1"/>
  <c r="V18" i="96"/>
  <c r="X18" i="96" s="1"/>
  <c r="V37" i="96"/>
  <c r="X37" i="96" s="1"/>
  <c r="V33" i="96"/>
  <c r="X33" i="96" s="1"/>
  <c r="V29" i="96"/>
  <c r="X29" i="96" s="1"/>
  <c r="V25" i="96"/>
  <c r="X25" i="96" s="1"/>
  <c r="V21" i="96"/>
  <c r="X21" i="96" s="1"/>
  <c r="V17" i="96"/>
  <c r="X17" i="96" s="1"/>
  <c r="V40" i="96"/>
  <c r="X40" i="96" s="1"/>
  <c r="U97" i="96" s="1"/>
  <c r="V36" i="96"/>
  <c r="X36" i="96" s="1"/>
  <c r="V32" i="96"/>
  <c r="X32" i="96" s="1"/>
  <c r="V28" i="96"/>
  <c r="X28" i="96" s="1"/>
  <c r="V24" i="96"/>
  <c r="X24" i="96" s="1"/>
  <c r="V20" i="96"/>
  <c r="X20" i="96" s="1"/>
  <c r="V16" i="96"/>
  <c r="X16" i="96" s="1"/>
  <c r="V39" i="96"/>
  <c r="X39" i="96" s="1"/>
  <c r="V35" i="96"/>
  <c r="X35" i="96" s="1"/>
  <c r="V31" i="96"/>
  <c r="X31" i="96" s="1"/>
  <c r="V27" i="96"/>
  <c r="X27" i="96" s="1"/>
  <c r="V23" i="96"/>
  <c r="X23" i="96" s="1"/>
  <c r="V19" i="96"/>
  <c r="X19" i="96" s="1"/>
  <c r="J103" i="96"/>
  <c r="K103" i="96"/>
  <c r="I103" i="96"/>
  <c r="K75" i="96"/>
  <c r="I75" i="96"/>
  <c r="J75" i="96"/>
  <c r="K110" i="96"/>
  <c r="I110" i="96"/>
  <c r="J110" i="96"/>
  <c r="J105" i="96"/>
  <c r="K105" i="96"/>
  <c r="I105" i="96"/>
  <c r="J69" i="96"/>
  <c r="K69" i="96"/>
  <c r="I69" i="96"/>
  <c r="K86" i="96"/>
  <c r="I86" i="96"/>
  <c r="J86" i="96"/>
  <c r="J97" i="95"/>
  <c r="I97" i="95"/>
  <c r="K97" i="95"/>
  <c r="K102" i="95"/>
  <c r="I102" i="95"/>
  <c r="J102" i="95"/>
  <c r="I92" i="95"/>
  <c r="K92" i="95"/>
  <c r="J92" i="95"/>
  <c r="K74" i="95"/>
  <c r="J74" i="95"/>
  <c r="I74" i="95"/>
  <c r="T84" i="95"/>
  <c r="W33" i="95"/>
  <c r="T85" i="95"/>
  <c r="T54" i="95"/>
  <c r="T55" i="95"/>
  <c r="W18" i="95"/>
  <c r="J77" i="95"/>
  <c r="I77" i="95"/>
  <c r="K77" i="95"/>
  <c r="I76" i="95"/>
  <c r="J76" i="95"/>
  <c r="K76" i="95"/>
  <c r="J87" i="95"/>
  <c r="K87" i="95"/>
  <c r="I87" i="95"/>
  <c r="T80" i="95"/>
  <c r="T81" i="95"/>
  <c r="W31" i="95"/>
  <c r="J103" i="95"/>
  <c r="I103" i="95"/>
  <c r="K103" i="95"/>
  <c r="K110" i="95"/>
  <c r="I110" i="95"/>
  <c r="J110" i="95"/>
  <c r="I100" i="95"/>
  <c r="K100" i="95"/>
  <c r="J100" i="95"/>
  <c r="T66" i="95"/>
  <c r="T67" i="95"/>
  <c r="W24" i="95"/>
  <c r="J69" i="95"/>
  <c r="K69" i="95"/>
  <c r="I69" i="95"/>
  <c r="I68" i="95"/>
  <c r="J68" i="95"/>
  <c r="K68" i="95"/>
  <c r="J79" i="95"/>
  <c r="K79" i="95"/>
  <c r="I79" i="95"/>
  <c r="J57" i="95"/>
  <c r="J58" i="95"/>
  <c r="U4" i="95"/>
  <c r="V4" i="95" s="1"/>
  <c r="T62" i="95"/>
  <c r="T63" i="95"/>
  <c r="W22" i="95"/>
  <c r="J81" i="95"/>
  <c r="I81" i="95"/>
  <c r="K81" i="95"/>
  <c r="I80" i="95"/>
  <c r="J80" i="95"/>
  <c r="K80" i="95"/>
  <c r="K90" i="95"/>
  <c r="I90" i="95"/>
  <c r="J90" i="95"/>
  <c r="K86" i="95"/>
  <c r="J86" i="95"/>
  <c r="I86" i="95"/>
  <c r="T53" i="95"/>
  <c r="T52" i="95"/>
  <c r="W17" i="95"/>
  <c r="J109" i="95"/>
  <c r="K109" i="95"/>
  <c r="I109" i="95"/>
  <c r="I63" i="95"/>
  <c r="K63" i="95"/>
  <c r="J63" i="95"/>
  <c r="J71" i="95"/>
  <c r="K71" i="95"/>
  <c r="I71" i="95"/>
  <c r="T76" i="95"/>
  <c r="T77" i="95"/>
  <c r="W29" i="95"/>
  <c r="T49" i="95"/>
  <c r="V15" i="95"/>
  <c r="X15" i="95" s="1"/>
  <c r="V16" i="95" a="1"/>
  <c r="T48" i="95"/>
  <c r="W15" i="95"/>
  <c r="J89" i="95"/>
  <c r="I89" i="95"/>
  <c r="K89" i="95"/>
  <c r="I88" i="95"/>
  <c r="J88" i="95"/>
  <c r="K88" i="95"/>
  <c r="I104" i="95"/>
  <c r="K104" i="95"/>
  <c r="J104" i="95"/>
  <c r="K57" i="95"/>
  <c r="B33" i="95"/>
  <c r="U6" i="95"/>
  <c r="V6" i="95" s="1"/>
  <c r="K58" i="95"/>
  <c r="W28" i="95"/>
  <c r="T75" i="95"/>
  <c r="T74" i="95"/>
  <c r="J101" i="95"/>
  <c r="K101" i="95"/>
  <c r="I101" i="95"/>
  <c r="K70" i="95"/>
  <c r="J70" i="95"/>
  <c r="I70" i="95"/>
  <c r="T72" i="95"/>
  <c r="T73" i="95"/>
  <c r="W27" i="95"/>
  <c r="T68" i="95"/>
  <c r="T69" i="95"/>
  <c r="W25" i="95"/>
  <c r="J113" i="95"/>
  <c r="K113" i="95"/>
  <c r="I113" i="95"/>
  <c r="I67" i="95"/>
  <c r="K67" i="95"/>
  <c r="J67" i="95"/>
  <c r="J75" i="95"/>
  <c r="K75" i="95"/>
  <c r="I75" i="95"/>
  <c r="T90" i="95"/>
  <c r="T91" i="95"/>
  <c r="W36" i="95"/>
  <c r="T58" i="95"/>
  <c r="T59" i="95"/>
  <c r="W20" i="95"/>
  <c r="J107" i="95"/>
  <c r="I107" i="95"/>
  <c r="K107" i="95"/>
  <c r="J91" i="95"/>
  <c r="K91" i="95"/>
  <c r="I91" i="95"/>
  <c r="I108" i="95"/>
  <c r="K108" i="95"/>
  <c r="J108" i="95"/>
  <c r="J65" i="95"/>
  <c r="K65" i="95"/>
  <c r="I65" i="95"/>
  <c r="T71" i="95"/>
  <c r="T70" i="95"/>
  <c r="W26" i="95"/>
  <c r="T94" i="95"/>
  <c r="T95" i="95"/>
  <c r="W38" i="95"/>
  <c r="J73" i="95"/>
  <c r="I73" i="95"/>
  <c r="K73" i="95"/>
  <c r="I72" i="95"/>
  <c r="J72" i="95"/>
  <c r="K72" i="95"/>
  <c r="J83" i="95"/>
  <c r="K83" i="95"/>
  <c r="I83" i="95"/>
  <c r="T79" i="95"/>
  <c r="W30" i="95"/>
  <c r="T78" i="95"/>
  <c r="W34" i="95"/>
  <c r="T87" i="95"/>
  <c r="T86" i="95"/>
  <c r="J99" i="95"/>
  <c r="I99" i="95"/>
  <c r="K99" i="95"/>
  <c r="K106" i="95"/>
  <c r="I106" i="95"/>
  <c r="J106" i="95"/>
  <c r="I96" i="95"/>
  <c r="K96" i="95"/>
  <c r="J96" i="95"/>
  <c r="K82" i="95"/>
  <c r="J82" i="95"/>
  <c r="I82" i="95"/>
  <c r="T88" i="95"/>
  <c r="W35" i="95"/>
  <c r="T89" i="95"/>
  <c r="T61" i="95"/>
  <c r="T60" i="95"/>
  <c r="W21" i="95"/>
  <c r="J111" i="95"/>
  <c r="I111" i="95"/>
  <c r="K111" i="95"/>
  <c r="J95" i="95"/>
  <c r="K95" i="95"/>
  <c r="I95" i="95"/>
  <c r="I66" i="95"/>
  <c r="J66" i="95"/>
  <c r="K66" i="95"/>
  <c r="T92" i="95"/>
  <c r="T93" i="95"/>
  <c r="W37" i="95"/>
  <c r="W19" i="95"/>
  <c r="T57" i="95"/>
  <c r="T56" i="95"/>
  <c r="J93" i="95"/>
  <c r="I93" i="95"/>
  <c r="K93" i="95"/>
  <c r="K98" i="95"/>
  <c r="I98" i="95"/>
  <c r="J98" i="95"/>
  <c r="I112" i="95"/>
  <c r="K112" i="95"/>
  <c r="J112" i="95"/>
  <c r="K78" i="95"/>
  <c r="J78" i="95"/>
  <c r="I78" i="95"/>
  <c r="T50" i="95"/>
  <c r="W16" i="95"/>
  <c r="T51" i="95"/>
  <c r="J105" i="95"/>
  <c r="K105" i="95"/>
  <c r="I105" i="95"/>
  <c r="K64" i="95"/>
  <c r="J64" i="95"/>
  <c r="I64" i="95"/>
  <c r="T96" i="95"/>
  <c r="T97" i="95"/>
  <c r="W39" i="95"/>
  <c r="T83" i="95"/>
  <c r="W32" i="95"/>
  <c r="T82" i="95"/>
  <c r="J85" i="95"/>
  <c r="I85" i="95"/>
  <c r="K85" i="95"/>
  <c r="I84" i="95"/>
  <c r="J84" i="95"/>
  <c r="K84" i="95"/>
  <c r="K94" i="95"/>
  <c r="I94" i="95"/>
  <c r="J94" i="95"/>
  <c r="T65" i="95"/>
  <c r="T64" i="95"/>
  <c r="W23" i="95"/>
  <c r="T76" i="93"/>
  <c r="T77" i="93"/>
  <c r="W29" i="93"/>
  <c r="T52" i="93"/>
  <c r="T53" i="93"/>
  <c r="W17" i="93"/>
  <c r="W18" i="93"/>
  <c r="T84" i="93"/>
  <c r="T85" i="93"/>
  <c r="W33" i="93"/>
  <c r="T51" i="93"/>
  <c r="T50" i="93"/>
  <c r="W16" i="93"/>
  <c r="J69" i="93"/>
  <c r="K69" i="93"/>
  <c r="I69" i="93"/>
  <c r="I70" i="93"/>
  <c r="K70" i="93"/>
  <c r="J70" i="93"/>
  <c r="J77" i="93"/>
  <c r="K77" i="93"/>
  <c r="I77" i="93"/>
  <c r="K94" i="93"/>
  <c r="I94" i="93"/>
  <c r="J94" i="93"/>
  <c r="I104" i="93"/>
  <c r="K104" i="93"/>
  <c r="J104" i="93"/>
  <c r="I112" i="93"/>
  <c r="K112" i="93"/>
  <c r="J112" i="93"/>
  <c r="K80" i="93"/>
  <c r="I80" i="93"/>
  <c r="J80" i="93"/>
  <c r="K58" i="93"/>
  <c r="U6" i="93"/>
  <c r="V6" i="93" s="1"/>
  <c r="B33" i="93"/>
  <c r="K57" i="93"/>
  <c r="I92" i="93"/>
  <c r="K92" i="93"/>
  <c r="J92" i="93"/>
  <c r="I79" i="93"/>
  <c r="K79" i="93"/>
  <c r="J79" i="93"/>
  <c r="J95" i="93"/>
  <c r="K95" i="93"/>
  <c r="I95" i="93"/>
  <c r="J113" i="93"/>
  <c r="K113" i="93"/>
  <c r="I113" i="93"/>
  <c r="J93" i="93"/>
  <c r="K93" i="93"/>
  <c r="I93" i="93"/>
  <c r="J107" i="93"/>
  <c r="K107" i="93"/>
  <c r="I107" i="93"/>
  <c r="T48" i="93"/>
  <c r="V16" i="93" a="1"/>
  <c r="W15" i="93"/>
  <c r="T49" i="93"/>
  <c r="V15" i="93"/>
  <c r="X15" i="93" s="1"/>
  <c r="T70" i="93"/>
  <c r="T71" i="93"/>
  <c r="W26" i="93"/>
  <c r="T90" i="93"/>
  <c r="T91" i="93"/>
  <c r="W36" i="93"/>
  <c r="T66" i="93"/>
  <c r="T67" i="93"/>
  <c r="W24" i="93"/>
  <c r="I74" i="93"/>
  <c r="K74" i="93"/>
  <c r="J74" i="93"/>
  <c r="K82" i="93"/>
  <c r="I82" i="93"/>
  <c r="J82" i="93"/>
  <c r="K98" i="93"/>
  <c r="I98" i="93"/>
  <c r="J98" i="93"/>
  <c r="K106" i="93"/>
  <c r="I106" i="93"/>
  <c r="J106" i="93"/>
  <c r="I65" i="93"/>
  <c r="J65" i="93"/>
  <c r="K65" i="93"/>
  <c r="K66" i="93"/>
  <c r="I66" i="93"/>
  <c r="J66" i="93"/>
  <c r="I96" i="93"/>
  <c r="K96" i="93"/>
  <c r="J96" i="93"/>
  <c r="J83" i="93"/>
  <c r="K83" i="93"/>
  <c r="I83" i="93"/>
  <c r="J101" i="93"/>
  <c r="K101" i="93"/>
  <c r="I101" i="93"/>
  <c r="J81" i="93"/>
  <c r="K81" i="93"/>
  <c r="I81" i="93"/>
  <c r="J97" i="93"/>
  <c r="K97" i="93"/>
  <c r="I97" i="93"/>
  <c r="J111" i="93"/>
  <c r="K111" i="93"/>
  <c r="I111" i="93"/>
  <c r="T92" i="93"/>
  <c r="T93" i="93"/>
  <c r="W37" i="93"/>
  <c r="T88" i="93"/>
  <c r="T89" i="93"/>
  <c r="W35" i="93"/>
  <c r="T60" i="93"/>
  <c r="W21" i="93"/>
  <c r="T61" i="93"/>
  <c r="W22" i="93"/>
  <c r="T59" i="93"/>
  <c r="T58" i="93"/>
  <c r="W20" i="93"/>
  <c r="J64" i="93"/>
  <c r="I64" i="93"/>
  <c r="K64" i="93"/>
  <c r="K63" i="93"/>
  <c r="J63" i="93"/>
  <c r="I63" i="93"/>
  <c r="I78" i="93"/>
  <c r="K78" i="93"/>
  <c r="J78" i="93"/>
  <c r="K86" i="93"/>
  <c r="I86" i="93"/>
  <c r="J86" i="93"/>
  <c r="I100" i="93"/>
  <c r="K100" i="93"/>
  <c r="J100" i="93"/>
  <c r="I108" i="93"/>
  <c r="K108" i="93"/>
  <c r="J108" i="93"/>
  <c r="K72" i="93"/>
  <c r="I72" i="93"/>
  <c r="J72" i="93"/>
  <c r="I84" i="93"/>
  <c r="K84" i="93"/>
  <c r="J84" i="93"/>
  <c r="I71" i="93"/>
  <c r="K71" i="93"/>
  <c r="J71" i="93"/>
  <c r="J87" i="93"/>
  <c r="K87" i="93"/>
  <c r="I87" i="93"/>
  <c r="J105" i="93"/>
  <c r="K105" i="93"/>
  <c r="I105" i="93"/>
  <c r="J85" i="93"/>
  <c r="K85" i="93"/>
  <c r="I85" i="93"/>
  <c r="J99" i="93"/>
  <c r="K99" i="93"/>
  <c r="I99" i="93"/>
  <c r="T74" i="93"/>
  <c r="T75" i="93"/>
  <c r="W28" i="93"/>
  <c r="T82" i="93"/>
  <c r="W32" i="93"/>
  <c r="T83" i="93"/>
  <c r="T96" i="93"/>
  <c r="T97" i="93"/>
  <c r="W39" i="93"/>
  <c r="T78" i="93"/>
  <c r="T79" i="93"/>
  <c r="W30" i="93"/>
  <c r="W25" i="93"/>
  <c r="W27" i="93"/>
  <c r="T57" i="93"/>
  <c r="T56" i="93"/>
  <c r="W19" i="93"/>
  <c r="J68" i="93"/>
  <c r="I68" i="93"/>
  <c r="K68" i="93"/>
  <c r="K67" i="93"/>
  <c r="J67" i="93"/>
  <c r="I67" i="93"/>
  <c r="J73" i="93"/>
  <c r="K73" i="93"/>
  <c r="I73" i="93"/>
  <c r="K90" i="93"/>
  <c r="I90" i="93"/>
  <c r="J90" i="93"/>
  <c r="K102" i="93"/>
  <c r="I102" i="93"/>
  <c r="J102" i="93"/>
  <c r="K110" i="93"/>
  <c r="I110" i="93"/>
  <c r="J110" i="93"/>
  <c r="K76" i="93"/>
  <c r="I76" i="93"/>
  <c r="J76" i="93"/>
  <c r="J57" i="93"/>
  <c r="J58" i="93"/>
  <c r="U4" i="93"/>
  <c r="V4" i="93" s="1"/>
  <c r="I88" i="93"/>
  <c r="K88" i="93"/>
  <c r="J88" i="93"/>
  <c r="I75" i="93"/>
  <c r="K75" i="93"/>
  <c r="J75" i="93"/>
  <c r="J91" i="93"/>
  <c r="K91" i="93"/>
  <c r="I91" i="93"/>
  <c r="J109" i="93"/>
  <c r="K109" i="93"/>
  <c r="I109" i="93"/>
  <c r="J89" i="93"/>
  <c r="K89" i="93"/>
  <c r="I89" i="93"/>
  <c r="J103" i="93"/>
  <c r="K103" i="93"/>
  <c r="I103" i="93"/>
  <c r="T80" i="93"/>
  <c r="T81" i="93"/>
  <c r="W31" i="93"/>
  <c r="T65" i="93"/>
  <c r="T64" i="93"/>
  <c r="W23" i="93"/>
  <c r="U48" i="92"/>
  <c r="K57" i="92"/>
  <c r="B33" i="92"/>
  <c r="K58" i="92"/>
  <c r="U6" i="92"/>
  <c r="V6" i="92" s="1"/>
  <c r="I70" i="92"/>
  <c r="K70" i="92"/>
  <c r="J70" i="92"/>
  <c r="K66" i="92"/>
  <c r="J66" i="92"/>
  <c r="I66" i="92"/>
  <c r="K94" i="92"/>
  <c r="I94" i="92"/>
  <c r="J94" i="92"/>
  <c r="I104" i="92"/>
  <c r="K104" i="92"/>
  <c r="J104" i="92"/>
  <c r="I112" i="92"/>
  <c r="K112" i="92"/>
  <c r="J112" i="92"/>
  <c r="J73" i="92"/>
  <c r="I73" i="92"/>
  <c r="K73" i="92"/>
  <c r="K76" i="92"/>
  <c r="J76" i="92"/>
  <c r="I76" i="92"/>
  <c r="I92" i="92"/>
  <c r="K92" i="92"/>
  <c r="J92" i="92"/>
  <c r="K79" i="92"/>
  <c r="J79" i="92"/>
  <c r="I79" i="92"/>
  <c r="J95" i="92"/>
  <c r="K95" i="92"/>
  <c r="I95" i="92"/>
  <c r="J113" i="92"/>
  <c r="K113" i="92"/>
  <c r="I113" i="92"/>
  <c r="J93" i="92"/>
  <c r="K93" i="92"/>
  <c r="I93" i="92"/>
  <c r="J107" i="92"/>
  <c r="K107" i="92"/>
  <c r="I107" i="92"/>
  <c r="I74" i="92"/>
  <c r="K74" i="92"/>
  <c r="J74" i="92"/>
  <c r="I63" i="92"/>
  <c r="J63" i="92"/>
  <c r="K63" i="92"/>
  <c r="K82" i="92"/>
  <c r="I82" i="92"/>
  <c r="J82" i="92"/>
  <c r="K98" i="92"/>
  <c r="I98" i="92"/>
  <c r="J98" i="92"/>
  <c r="K106" i="92"/>
  <c r="I106" i="92"/>
  <c r="J106" i="92"/>
  <c r="I64" i="92"/>
  <c r="K64" i="92"/>
  <c r="J64" i="92"/>
  <c r="J77" i="92"/>
  <c r="I77" i="92"/>
  <c r="K77" i="92"/>
  <c r="I80" i="92"/>
  <c r="K80" i="92"/>
  <c r="J80" i="92"/>
  <c r="I96" i="92"/>
  <c r="K96" i="92"/>
  <c r="J96" i="92"/>
  <c r="J83" i="92"/>
  <c r="K83" i="92"/>
  <c r="I83" i="92"/>
  <c r="J101" i="92"/>
  <c r="K101" i="92"/>
  <c r="I101" i="92"/>
  <c r="J81" i="92"/>
  <c r="I81" i="92"/>
  <c r="K81" i="92"/>
  <c r="J97" i="92"/>
  <c r="K97" i="92"/>
  <c r="I97" i="92"/>
  <c r="J111" i="92"/>
  <c r="K111" i="92"/>
  <c r="I111" i="92"/>
  <c r="V39" i="92"/>
  <c r="X39" i="92" s="1"/>
  <c r="V35" i="92"/>
  <c r="X35" i="92" s="1"/>
  <c r="V31" i="92"/>
  <c r="X31" i="92" s="1"/>
  <c r="V27" i="92"/>
  <c r="X27" i="92" s="1"/>
  <c r="V23" i="92"/>
  <c r="X23" i="92" s="1"/>
  <c r="V19" i="92"/>
  <c r="X19" i="92" s="1"/>
  <c r="V38" i="92"/>
  <c r="X38" i="92" s="1"/>
  <c r="V34" i="92"/>
  <c r="X34" i="92" s="1"/>
  <c r="V30" i="92"/>
  <c r="X30" i="92" s="1"/>
  <c r="V26" i="92"/>
  <c r="X26" i="92" s="1"/>
  <c r="V22" i="92"/>
  <c r="X22" i="92" s="1"/>
  <c r="V18" i="92"/>
  <c r="X18" i="92" s="1"/>
  <c r="V37" i="92"/>
  <c r="X37" i="92" s="1"/>
  <c r="V33" i="92"/>
  <c r="X33" i="92" s="1"/>
  <c r="V29" i="92"/>
  <c r="X29" i="92" s="1"/>
  <c r="V25" i="92"/>
  <c r="X25" i="92" s="1"/>
  <c r="V21" i="92"/>
  <c r="X21" i="92" s="1"/>
  <c r="V17" i="92"/>
  <c r="X17" i="92" s="1"/>
  <c r="V40" i="92"/>
  <c r="X40" i="92" s="1"/>
  <c r="U97" i="92" s="1"/>
  <c r="V36" i="92"/>
  <c r="X36" i="92" s="1"/>
  <c r="V32" i="92"/>
  <c r="X32" i="92" s="1"/>
  <c r="V28" i="92"/>
  <c r="X28" i="92" s="1"/>
  <c r="V24" i="92"/>
  <c r="X24" i="92" s="1"/>
  <c r="V20" i="92"/>
  <c r="X20" i="92" s="1"/>
  <c r="V16" i="92"/>
  <c r="X16" i="92" s="1"/>
  <c r="J67" i="92"/>
  <c r="I67" i="92"/>
  <c r="K67" i="92"/>
  <c r="I78" i="92"/>
  <c r="K78" i="92"/>
  <c r="J78" i="92"/>
  <c r="K86" i="92"/>
  <c r="I86" i="92"/>
  <c r="J86" i="92"/>
  <c r="I100" i="92"/>
  <c r="K100" i="92"/>
  <c r="J100" i="92"/>
  <c r="I108" i="92"/>
  <c r="K108" i="92"/>
  <c r="J108" i="92"/>
  <c r="I68" i="92"/>
  <c r="K68" i="92"/>
  <c r="J68" i="92"/>
  <c r="K65" i="92"/>
  <c r="J65" i="92"/>
  <c r="I65" i="92"/>
  <c r="I84" i="92"/>
  <c r="K84" i="92"/>
  <c r="J84" i="92"/>
  <c r="K71" i="92"/>
  <c r="J71" i="92"/>
  <c r="I71" i="92"/>
  <c r="J87" i="92"/>
  <c r="K87" i="92"/>
  <c r="I87" i="92"/>
  <c r="J105" i="92"/>
  <c r="K105" i="92"/>
  <c r="I105" i="92"/>
  <c r="J85" i="92"/>
  <c r="I85" i="92"/>
  <c r="K85" i="92"/>
  <c r="J99" i="92"/>
  <c r="K99" i="92"/>
  <c r="I99" i="92"/>
  <c r="J58" i="92"/>
  <c r="U4" i="92"/>
  <c r="V4" i="92" s="1"/>
  <c r="J57" i="92"/>
  <c r="K90" i="92"/>
  <c r="I90" i="92"/>
  <c r="J90" i="92"/>
  <c r="K102" i="92"/>
  <c r="I102" i="92"/>
  <c r="J102" i="92"/>
  <c r="K110" i="92"/>
  <c r="I110" i="92"/>
  <c r="J110" i="92"/>
  <c r="J69" i="92"/>
  <c r="I69" i="92"/>
  <c r="K69" i="92"/>
  <c r="K72" i="92"/>
  <c r="J72" i="92"/>
  <c r="I72" i="92"/>
  <c r="I88" i="92"/>
  <c r="K88" i="92"/>
  <c r="J88" i="92"/>
  <c r="K75" i="92"/>
  <c r="J75" i="92"/>
  <c r="I75" i="92"/>
  <c r="J91" i="92"/>
  <c r="K91" i="92"/>
  <c r="I91" i="92"/>
  <c r="J109" i="92"/>
  <c r="K109" i="92"/>
  <c r="I109" i="92"/>
  <c r="J89" i="92"/>
  <c r="I89" i="92"/>
  <c r="K89" i="92"/>
  <c r="J103" i="92"/>
  <c r="K103" i="92"/>
  <c r="I103" i="92"/>
  <c r="T88" i="91"/>
  <c r="T89" i="91"/>
  <c r="W35" i="91"/>
  <c r="T66" i="91"/>
  <c r="W24" i="91"/>
  <c r="T67" i="91"/>
  <c r="J89" i="91"/>
  <c r="K89" i="91"/>
  <c r="I89" i="91"/>
  <c r="I88" i="91"/>
  <c r="K88" i="91"/>
  <c r="J88" i="91"/>
  <c r="I78" i="91"/>
  <c r="K78" i="91"/>
  <c r="J78" i="91"/>
  <c r="J69" i="91"/>
  <c r="K69" i="91"/>
  <c r="I69" i="91"/>
  <c r="T48" i="91"/>
  <c r="T49" i="91"/>
  <c r="V16" i="91" a="1"/>
  <c r="W15" i="91"/>
  <c r="V15" i="91"/>
  <c r="X15" i="91" s="1"/>
  <c r="J105" i="91"/>
  <c r="K105" i="91"/>
  <c r="I105" i="91"/>
  <c r="I74" i="91"/>
  <c r="K74" i="91"/>
  <c r="J74" i="91"/>
  <c r="T92" i="91"/>
  <c r="T93" i="91"/>
  <c r="W37" i="91"/>
  <c r="J97" i="91"/>
  <c r="K97" i="91"/>
  <c r="I97" i="91"/>
  <c r="I96" i="91"/>
  <c r="K96" i="91"/>
  <c r="J96" i="91"/>
  <c r="K102" i="91"/>
  <c r="I102" i="91"/>
  <c r="J102" i="91"/>
  <c r="J73" i="91"/>
  <c r="K73" i="91"/>
  <c r="I73" i="91"/>
  <c r="T72" i="91"/>
  <c r="W27" i="91"/>
  <c r="T73" i="91"/>
  <c r="J107" i="91"/>
  <c r="K107" i="91"/>
  <c r="I107" i="91"/>
  <c r="J79" i="91"/>
  <c r="K79" i="91"/>
  <c r="I79" i="91"/>
  <c r="I108" i="91"/>
  <c r="K108" i="91"/>
  <c r="J108" i="91"/>
  <c r="K82" i="91"/>
  <c r="I82" i="91"/>
  <c r="J82" i="91"/>
  <c r="T68" i="91"/>
  <c r="T69" i="91"/>
  <c r="W25" i="91"/>
  <c r="T78" i="91"/>
  <c r="T79" i="91"/>
  <c r="W30" i="91"/>
  <c r="J109" i="91"/>
  <c r="K109" i="91"/>
  <c r="I109" i="91"/>
  <c r="I65" i="91"/>
  <c r="J65" i="91"/>
  <c r="K65" i="91"/>
  <c r="K63" i="91"/>
  <c r="J63" i="91"/>
  <c r="I63" i="91"/>
  <c r="T62" i="91"/>
  <c r="W22" i="91"/>
  <c r="T63" i="91"/>
  <c r="J87" i="91"/>
  <c r="K87" i="91"/>
  <c r="I87" i="91"/>
  <c r="I112" i="91"/>
  <c r="K112" i="91"/>
  <c r="J112" i="91"/>
  <c r="K58" i="91"/>
  <c r="K57" i="91"/>
  <c r="U6" i="91"/>
  <c r="V6" i="91" s="1"/>
  <c r="T84" i="91"/>
  <c r="T85" i="91"/>
  <c r="W33" i="91"/>
  <c r="T51" i="91"/>
  <c r="T50" i="91"/>
  <c r="W16" i="91"/>
  <c r="J81" i="91"/>
  <c r="I81" i="91"/>
  <c r="K81" i="91"/>
  <c r="I80" i="91"/>
  <c r="K80" i="91"/>
  <c r="J80" i="91"/>
  <c r="K90" i="91"/>
  <c r="I90" i="91"/>
  <c r="J90" i="91"/>
  <c r="T80" i="91"/>
  <c r="T81" i="91"/>
  <c r="W31" i="91"/>
  <c r="J93" i="91"/>
  <c r="K93" i="91"/>
  <c r="I93" i="91"/>
  <c r="I92" i="91"/>
  <c r="K92" i="91"/>
  <c r="J92" i="91"/>
  <c r="I100" i="91"/>
  <c r="K100" i="91"/>
  <c r="J100" i="91"/>
  <c r="J68" i="91"/>
  <c r="I68" i="91"/>
  <c r="K68" i="91"/>
  <c r="T70" i="91"/>
  <c r="T71" i="91"/>
  <c r="W26" i="91"/>
  <c r="T52" i="91"/>
  <c r="T53" i="91"/>
  <c r="W17" i="91"/>
  <c r="J91" i="91"/>
  <c r="K91" i="91"/>
  <c r="I91" i="91"/>
  <c r="K106" i="91"/>
  <c r="I106" i="91"/>
  <c r="J106" i="91"/>
  <c r="T86" i="91"/>
  <c r="T87" i="91"/>
  <c r="W34" i="91"/>
  <c r="W21" i="91"/>
  <c r="T60" i="91"/>
  <c r="T61" i="91"/>
  <c r="J99" i="91"/>
  <c r="K99" i="91"/>
  <c r="I99" i="91"/>
  <c r="I71" i="91"/>
  <c r="J71" i="91"/>
  <c r="K71" i="91"/>
  <c r="I104" i="91"/>
  <c r="K104" i="91"/>
  <c r="J104" i="91"/>
  <c r="T90" i="91"/>
  <c r="T91" i="91"/>
  <c r="W36" i="91"/>
  <c r="T59" i="91"/>
  <c r="T58" i="91"/>
  <c r="W20" i="91"/>
  <c r="J101" i="91"/>
  <c r="K101" i="91"/>
  <c r="I101" i="91"/>
  <c r="K76" i="91"/>
  <c r="I76" i="91"/>
  <c r="J76" i="91"/>
  <c r="I70" i="91"/>
  <c r="K70" i="91"/>
  <c r="J70" i="91"/>
  <c r="T82" i="91"/>
  <c r="T83" i="91"/>
  <c r="W32" i="91"/>
  <c r="T94" i="91"/>
  <c r="W38" i="91"/>
  <c r="T95" i="91"/>
  <c r="J113" i="91"/>
  <c r="K113" i="91"/>
  <c r="I113" i="91"/>
  <c r="K66" i="91"/>
  <c r="I66" i="91"/>
  <c r="J66" i="91"/>
  <c r="K86" i="91"/>
  <c r="I86" i="91"/>
  <c r="J86" i="91"/>
  <c r="J77" i="91"/>
  <c r="K77" i="91"/>
  <c r="I77" i="91"/>
  <c r="T65" i="91"/>
  <c r="T64" i="91"/>
  <c r="W23" i="91"/>
  <c r="J103" i="91"/>
  <c r="K103" i="91"/>
  <c r="I103" i="91"/>
  <c r="I75" i="91"/>
  <c r="J75" i="91"/>
  <c r="K75" i="91"/>
  <c r="K98" i="91"/>
  <c r="I98" i="91"/>
  <c r="J98" i="91"/>
  <c r="J64" i="91"/>
  <c r="I64" i="91"/>
  <c r="K64" i="91"/>
  <c r="T57" i="91"/>
  <c r="T56" i="91"/>
  <c r="W19" i="91"/>
  <c r="W29" i="91"/>
  <c r="T76" i="91"/>
  <c r="T77" i="91"/>
  <c r="J85" i="91"/>
  <c r="K85" i="91"/>
  <c r="I85" i="91"/>
  <c r="I84" i="91"/>
  <c r="K84" i="91"/>
  <c r="J84" i="91"/>
  <c r="K94" i="91"/>
  <c r="I94" i="91"/>
  <c r="J94" i="91"/>
  <c r="T96" i="91"/>
  <c r="T97" i="91"/>
  <c r="W39" i="91"/>
  <c r="J111" i="91"/>
  <c r="K111" i="91"/>
  <c r="I111" i="91"/>
  <c r="J83" i="91"/>
  <c r="K83" i="91"/>
  <c r="I83" i="91"/>
  <c r="K110" i="91"/>
  <c r="I110" i="91"/>
  <c r="J110" i="91"/>
  <c r="J57" i="91"/>
  <c r="J58" i="91"/>
  <c r="U4" i="91"/>
  <c r="V4" i="91" s="1"/>
  <c r="T74" i="91"/>
  <c r="T75" i="91"/>
  <c r="W28" i="91"/>
  <c r="T55" i="91"/>
  <c r="W18" i="91"/>
  <c r="T54" i="91"/>
  <c r="J95" i="91"/>
  <c r="K95" i="91"/>
  <c r="I95" i="91"/>
  <c r="K72" i="91"/>
  <c r="I72" i="91"/>
  <c r="J72" i="91"/>
  <c r="K67" i="91"/>
  <c r="J67" i="91"/>
  <c r="I67" i="91"/>
  <c r="V16" i="90" a="1"/>
  <c r="V31" i="90" s="1"/>
  <c r="X31" i="90" s="1"/>
  <c r="V15" i="90"/>
  <c r="X15" i="90" s="1"/>
  <c r="U48" i="90" s="1"/>
  <c r="W35" i="90"/>
  <c r="T88" i="90"/>
  <c r="T89" i="90"/>
  <c r="T52" i="90"/>
  <c r="T53" i="90"/>
  <c r="K58" i="90"/>
  <c r="K57" i="90"/>
  <c r="U6" i="90"/>
  <c r="V6" i="90" s="1"/>
  <c r="I72" i="90"/>
  <c r="K72" i="90"/>
  <c r="J72" i="90"/>
  <c r="I88" i="90"/>
  <c r="K88" i="90"/>
  <c r="J88" i="90"/>
  <c r="I112" i="90"/>
  <c r="K112" i="90"/>
  <c r="J112" i="90"/>
  <c r="K78" i="90"/>
  <c r="I78" i="90"/>
  <c r="J78" i="90"/>
  <c r="I108" i="90"/>
  <c r="K108" i="90"/>
  <c r="J108" i="90"/>
  <c r="K90" i="90"/>
  <c r="J90" i="90"/>
  <c r="I90" i="90"/>
  <c r="K106" i="90"/>
  <c r="I106" i="90"/>
  <c r="J106" i="90"/>
  <c r="J109" i="90"/>
  <c r="K109" i="90"/>
  <c r="I109" i="90"/>
  <c r="I77" i="90"/>
  <c r="J77" i="90"/>
  <c r="K77" i="90"/>
  <c r="I93" i="90"/>
  <c r="K93" i="90"/>
  <c r="J93" i="90"/>
  <c r="J107" i="90"/>
  <c r="I107" i="90"/>
  <c r="K107" i="90"/>
  <c r="I64" i="90"/>
  <c r="K64" i="90"/>
  <c r="J64" i="90"/>
  <c r="J71" i="90"/>
  <c r="K71" i="90"/>
  <c r="I71" i="90"/>
  <c r="J63" i="90"/>
  <c r="K63" i="90"/>
  <c r="I63" i="90"/>
  <c r="I76" i="90"/>
  <c r="K76" i="90"/>
  <c r="J76" i="90"/>
  <c r="I92" i="90"/>
  <c r="J92" i="90"/>
  <c r="K92" i="90"/>
  <c r="I65" i="90"/>
  <c r="J65" i="90"/>
  <c r="K65" i="90"/>
  <c r="K82" i="90"/>
  <c r="I82" i="90"/>
  <c r="J82" i="90"/>
  <c r="K66" i="90"/>
  <c r="I66" i="90"/>
  <c r="J66" i="90"/>
  <c r="K94" i="90"/>
  <c r="J94" i="90"/>
  <c r="I94" i="90"/>
  <c r="K110" i="90"/>
  <c r="I110" i="90"/>
  <c r="J110" i="90"/>
  <c r="J113" i="90"/>
  <c r="K113" i="90"/>
  <c r="I113" i="90"/>
  <c r="I81" i="90"/>
  <c r="J81" i="90"/>
  <c r="K81" i="90"/>
  <c r="I97" i="90"/>
  <c r="K97" i="90"/>
  <c r="J97" i="90"/>
  <c r="J111" i="90"/>
  <c r="I111" i="90"/>
  <c r="K111" i="90"/>
  <c r="V39" i="90"/>
  <c r="X39" i="90" s="1"/>
  <c r="V35" i="90"/>
  <c r="X35" i="90" s="1"/>
  <c r="V27" i="90"/>
  <c r="X27" i="90" s="1"/>
  <c r="V23" i="90"/>
  <c r="X23" i="90" s="1"/>
  <c r="V19" i="90"/>
  <c r="X19" i="90" s="1"/>
  <c r="V34" i="90"/>
  <c r="X34" i="90" s="1"/>
  <c r="V30" i="90"/>
  <c r="X30" i="90" s="1"/>
  <c r="V26" i="90"/>
  <c r="X26" i="90" s="1"/>
  <c r="V18" i="90"/>
  <c r="X18" i="90" s="1"/>
  <c r="V37" i="90"/>
  <c r="X37" i="90" s="1"/>
  <c r="V33" i="90"/>
  <c r="X33" i="90" s="1"/>
  <c r="V25" i="90"/>
  <c r="X25" i="90" s="1"/>
  <c r="V21" i="90"/>
  <c r="X21" i="90" s="1"/>
  <c r="V17" i="90"/>
  <c r="X17" i="90" s="1"/>
  <c r="V36" i="90"/>
  <c r="X36" i="90" s="1"/>
  <c r="V32" i="90"/>
  <c r="X32" i="90" s="1"/>
  <c r="V28" i="90"/>
  <c r="X28" i="90" s="1"/>
  <c r="V20" i="90"/>
  <c r="X20" i="90" s="1"/>
  <c r="V16" i="90"/>
  <c r="X16" i="90" s="1"/>
  <c r="J75" i="90"/>
  <c r="K75" i="90"/>
  <c r="I75" i="90"/>
  <c r="J79" i="90"/>
  <c r="K79" i="90"/>
  <c r="I79" i="90"/>
  <c r="K67" i="90"/>
  <c r="J67" i="90"/>
  <c r="I67" i="90"/>
  <c r="I80" i="90"/>
  <c r="K80" i="90"/>
  <c r="J80" i="90"/>
  <c r="I96" i="90"/>
  <c r="J96" i="90"/>
  <c r="K96" i="90"/>
  <c r="K70" i="90"/>
  <c r="I70" i="90"/>
  <c r="J70" i="90"/>
  <c r="K86" i="90"/>
  <c r="I86" i="90"/>
  <c r="J86" i="90"/>
  <c r="J91" i="90"/>
  <c r="K91" i="90"/>
  <c r="I91" i="90"/>
  <c r="K98" i="90"/>
  <c r="J98" i="90"/>
  <c r="I98" i="90"/>
  <c r="J101" i="90"/>
  <c r="K101" i="90"/>
  <c r="I101" i="90"/>
  <c r="I69" i="90"/>
  <c r="J69" i="90"/>
  <c r="K69" i="90"/>
  <c r="I85" i="90"/>
  <c r="J85" i="90"/>
  <c r="K85" i="90"/>
  <c r="I99" i="90"/>
  <c r="J99" i="90"/>
  <c r="K99" i="90"/>
  <c r="J83" i="90"/>
  <c r="K83" i="90"/>
  <c r="I83" i="90"/>
  <c r="J87" i="90"/>
  <c r="K87" i="90"/>
  <c r="I87" i="90"/>
  <c r="J57" i="90"/>
  <c r="U4" i="90"/>
  <c r="V4" i="90" s="1"/>
  <c r="J58" i="90"/>
  <c r="I68" i="90"/>
  <c r="K68" i="90"/>
  <c r="J68" i="90"/>
  <c r="I84" i="90"/>
  <c r="K84" i="90"/>
  <c r="J84" i="90"/>
  <c r="I104" i="90"/>
  <c r="K104" i="90"/>
  <c r="J104" i="90"/>
  <c r="K74" i="90"/>
  <c r="I74" i="90"/>
  <c r="J74" i="90"/>
  <c r="I100" i="90"/>
  <c r="K100" i="90"/>
  <c r="J100" i="90"/>
  <c r="J95" i="90"/>
  <c r="K95" i="90"/>
  <c r="I95" i="90"/>
  <c r="K102" i="90"/>
  <c r="I102" i="90"/>
  <c r="J102" i="90"/>
  <c r="J105" i="90"/>
  <c r="K105" i="90"/>
  <c r="I105" i="90"/>
  <c r="I73" i="90"/>
  <c r="J73" i="90"/>
  <c r="K73" i="90"/>
  <c r="I89" i="90"/>
  <c r="J89" i="90"/>
  <c r="K89" i="90"/>
  <c r="J103" i="90"/>
  <c r="I103" i="90"/>
  <c r="K103" i="90"/>
  <c r="T70" i="89"/>
  <c r="W26" i="89"/>
  <c r="T71" i="89"/>
  <c r="T54" i="89"/>
  <c r="T55" i="89"/>
  <c r="W18" i="89"/>
  <c r="V15" i="89"/>
  <c r="X15" i="89" s="1"/>
  <c r="T52" i="89"/>
  <c r="T53" i="89"/>
  <c r="W17" i="89"/>
  <c r="T88" i="89"/>
  <c r="T89" i="89"/>
  <c r="W35" i="89"/>
  <c r="T62" i="89"/>
  <c r="W22" i="89"/>
  <c r="T63" i="89"/>
  <c r="J79" i="89"/>
  <c r="K79" i="89"/>
  <c r="I79" i="89"/>
  <c r="J83" i="89"/>
  <c r="K83" i="89"/>
  <c r="I83" i="89"/>
  <c r="K74" i="89"/>
  <c r="J74" i="89"/>
  <c r="I74" i="89"/>
  <c r="K90" i="89"/>
  <c r="J90" i="89"/>
  <c r="I90" i="89"/>
  <c r="K106" i="89"/>
  <c r="I106" i="89"/>
  <c r="J106" i="89"/>
  <c r="I66" i="89"/>
  <c r="K66" i="89"/>
  <c r="J66" i="89"/>
  <c r="I68" i="89"/>
  <c r="K68" i="89"/>
  <c r="J68" i="89"/>
  <c r="I84" i="89"/>
  <c r="K84" i="89"/>
  <c r="J84" i="89"/>
  <c r="K102" i="89"/>
  <c r="J102" i="89"/>
  <c r="I102" i="89"/>
  <c r="J69" i="89"/>
  <c r="I69" i="89"/>
  <c r="K69" i="89"/>
  <c r="J85" i="89"/>
  <c r="I85" i="89"/>
  <c r="K85" i="89"/>
  <c r="I99" i="89"/>
  <c r="K99" i="89"/>
  <c r="J99" i="89"/>
  <c r="T58" i="89"/>
  <c r="T59" i="89"/>
  <c r="W20" i="89"/>
  <c r="T78" i="89"/>
  <c r="W30" i="89"/>
  <c r="T79" i="89"/>
  <c r="T68" i="89"/>
  <c r="T69" i="89"/>
  <c r="W25" i="89"/>
  <c r="T90" i="89"/>
  <c r="W36" i="89"/>
  <c r="T91" i="89"/>
  <c r="J87" i="89"/>
  <c r="K87" i="89"/>
  <c r="I87" i="89"/>
  <c r="J57" i="89"/>
  <c r="J58" i="89"/>
  <c r="U4" i="89"/>
  <c r="V4" i="89" s="1"/>
  <c r="J91" i="89"/>
  <c r="K91" i="89"/>
  <c r="I91" i="89"/>
  <c r="K78" i="89"/>
  <c r="J78" i="89"/>
  <c r="I78" i="89"/>
  <c r="K94" i="89"/>
  <c r="J94" i="89"/>
  <c r="I94" i="89"/>
  <c r="I108" i="89"/>
  <c r="K108" i="89"/>
  <c r="J108" i="89"/>
  <c r="J101" i="89"/>
  <c r="I101" i="89"/>
  <c r="K101" i="89"/>
  <c r="I72" i="89"/>
  <c r="K72" i="89"/>
  <c r="J72" i="89"/>
  <c r="I88" i="89"/>
  <c r="K88" i="89"/>
  <c r="J88" i="89"/>
  <c r="I104" i="89"/>
  <c r="K104" i="89"/>
  <c r="J104" i="89"/>
  <c r="J73" i="89"/>
  <c r="I73" i="89"/>
  <c r="K73" i="89"/>
  <c r="J89" i="89"/>
  <c r="I89" i="89"/>
  <c r="K89" i="89"/>
  <c r="K103" i="89"/>
  <c r="J103" i="89"/>
  <c r="I103" i="89"/>
  <c r="T96" i="89"/>
  <c r="T97" i="89"/>
  <c r="W39" i="89"/>
  <c r="T74" i="89"/>
  <c r="W28" i="89"/>
  <c r="T75" i="89"/>
  <c r="V16" i="89" a="1"/>
  <c r="W19" i="89"/>
  <c r="T65" i="89"/>
  <c r="T64" i="89"/>
  <c r="W23" i="89"/>
  <c r="T86" i="89"/>
  <c r="T87" i="89"/>
  <c r="W34" i="89"/>
  <c r="K64" i="89"/>
  <c r="J64" i="89"/>
  <c r="I64" i="89"/>
  <c r="J95" i="89"/>
  <c r="K95" i="89"/>
  <c r="I95" i="89"/>
  <c r="K58" i="89"/>
  <c r="K57" i="89"/>
  <c r="U6" i="89"/>
  <c r="V6" i="89" s="1"/>
  <c r="J105" i="89"/>
  <c r="K105" i="89"/>
  <c r="I105" i="89"/>
  <c r="K82" i="89"/>
  <c r="J82" i="89"/>
  <c r="I82" i="89"/>
  <c r="K98" i="89"/>
  <c r="J98" i="89"/>
  <c r="I98" i="89"/>
  <c r="K110" i="89"/>
  <c r="I110" i="89"/>
  <c r="J110" i="89"/>
  <c r="K63" i="89"/>
  <c r="I63" i="89"/>
  <c r="J63" i="89"/>
  <c r="I76" i="89"/>
  <c r="K76" i="89"/>
  <c r="J76" i="89"/>
  <c r="I92" i="89"/>
  <c r="K92" i="89"/>
  <c r="J92" i="89"/>
  <c r="J109" i="89"/>
  <c r="K109" i="89"/>
  <c r="I109" i="89"/>
  <c r="J77" i="89"/>
  <c r="I77" i="89"/>
  <c r="K77" i="89"/>
  <c r="J93" i="89"/>
  <c r="I93" i="89"/>
  <c r="K93" i="89"/>
  <c r="J107" i="89"/>
  <c r="K107" i="89"/>
  <c r="I107" i="89"/>
  <c r="T92" i="89"/>
  <c r="T93" i="89"/>
  <c r="W37" i="89"/>
  <c r="T84" i="89"/>
  <c r="T85" i="89"/>
  <c r="W33" i="89"/>
  <c r="W38" i="89"/>
  <c r="T94" i="89"/>
  <c r="T95" i="89"/>
  <c r="T72" i="89"/>
  <c r="T73" i="89"/>
  <c r="W27" i="89"/>
  <c r="T61" i="89"/>
  <c r="W21" i="89"/>
  <c r="T60" i="89"/>
  <c r="J71" i="89"/>
  <c r="K71" i="89"/>
  <c r="I71" i="89"/>
  <c r="J65" i="89"/>
  <c r="I65" i="89"/>
  <c r="K65" i="89"/>
  <c r="J75" i="89"/>
  <c r="K75" i="89"/>
  <c r="I75" i="89"/>
  <c r="K70" i="89"/>
  <c r="J70" i="89"/>
  <c r="I70" i="89"/>
  <c r="K86" i="89"/>
  <c r="J86" i="89"/>
  <c r="I86" i="89"/>
  <c r="I100" i="89"/>
  <c r="K100" i="89"/>
  <c r="J100" i="89"/>
  <c r="I112" i="89"/>
  <c r="K112" i="89"/>
  <c r="J112" i="89"/>
  <c r="K67" i="89"/>
  <c r="J67" i="89"/>
  <c r="I67" i="89"/>
  <c r="I80" i="89"/>
  <c r="K80" i="89"/>
  <c r="J80" i="89"/>
  <c r="I96" i="89"/>
  <c r="K96" i="89"/>
  <c r="J96" i="89"/>
  <c r="J113" i="89"/>
  <c r="K113" i="89"/>
  <c r="I113" i="89"/>
  <c r="J81" i="89"/>
  <c r="I81" i="89"/>
  <c r="K81" i="89"/>
  <c r="J97" i="89"/>
  <c r="I97" i="89"/>
  <c r="K97" i="89"/>
  <c r="J111" i="89"/>
  <c r="K111" i="89"/>
  <c r="I111" i="89"/>
  <c r="T88" i="88"/>
  <c r="T89" i="88"/>
  <c r="W35" i="88"/>
  <c r="T56" i="88"/>
  <c r="T57" i="88"/>
  <c r="W19" i="88"/>
  <c r="T76" i="88"/>
  <c r="W29" i="88"/>
  <c r="T77" i="88"/>
  <c r="K66" i="88"/>
  <c r="I66" i="88"/>
  <c r="J66" i="88"/>
  <c r="J63" i="88"/>
  <c r="K63" i="88"/>
  <c r="I63" i="88"/>
  <c r="I76" i="88"/>
  <c r="K76" i="88"/>
  <c r="J76" i="88"/>
  <c r="I92" i="88"/>
  <c r="K92" i="88"/>
  <c r="J92" i="88"/>
  <c r="J79" i="88"/>
  <c r="I79" i="88"/>
  <c r="K79" i="88"/>
  <c r="J95" i="88"/>
  <c r="K95" i="88"/>
  <c r="I95" i="88"/>
  <c r="K78" i="88"/>
  <c r="J78" i="88"/>
  <c r="I78" i="88"/>
  <c r="K94" i="88"/>
  <c r="I94" i="88"/>
  <c r="J94" i="88"/>
  <c r="I104" i="88"/>
  <c r="K104" i="88"/>
  <c r="J104" i="88"/>
  <c r="I112" i="88"/>
  <c r="K112" i="88"/>
  <c r="J112" i="88"/>
  <c r="J113" i="88"/>
  <c r="K113" i="88"/>
  <c r="I113" i="88"/>
  <c r="K81" i="88"/>
  <c r="J81" i="88"/>
  <c r="I81" i="88"/>
  <c r="I97" i="88"/>
  <c r="K97" i="88"/>
  <c r="J97" i="88"/>
  <c r="J111" i="88"/>
  <c r="K111" i="88"/>
  <c r="I111" i="88"/>
  <c r="T96" i="88"/>
  <c r="T97" i="88"/>
  <c r="W39" i="88"/>
  <c r="T82" i="88"/>
  <c r="T83" i="88"/>
  <c r="W32" i="88"/>
  <c r="T78" i="88"/>
  <c r="T79" i="88"/>
  <c r="W30" i="88"/>
  <c r="T68" i="88"/>
  <c r="T69" i="88"/>
  <c r="W25" i="88"/>
  <c r="J67" i="88"/>
  <c r="K67" i="88"/>
  <c r="I67" i="88"/>
  <c r="I80" i="88"/>
  <c r="K80" i="88"/>
  <c r="J80" i="88"/>
  <c r="I96" i="88"/>
  <c r="K96" i="88"/>
  <c r="J96" i="88"/>
  <c r="J83" i="88"/>
  <c r="K83" i="88"/>
  <c r="I83" i="88"/>
  <c r="J65" i="88"/>
  <c r="I65" i="88"/>
  <c r="K65" i="88"/>
  <c r="K82" i="88"/>
  <c r="J82" i="88"/>
  <c r="I82" i="88"/>
  <c r="K98" i="88"/>
  <c r="I98" i="88"/>
  <c r="J98" i="88"/>
  <c r="K106" i="88"/>
  <c r="I106" i="88"/>
  <c r="J106" i="88"/>
  <c r="J101" i="88"/>
  <c r="K101" i="88"/>
  <c r="I101" i="88"/>
  <c r="K69" i="88"/>
  <c r="J69" i="88"/>
  <c r="I69" i="88"/>
  <c r="I85" i="88"/>
  <c r="K85" i="88"/>
  <c r="J85" i="88"/>
  <c r="J99" i="88"/>
  <c r="K99" i="88"/>
  <c r="I99" i="88"/>
  <c r="T60" i="88"/>
  <c r="T61" i="88"/>
  <c r="W21" i="88"/>
  <c r="T70" i="88"/>
  <c r="T71" i="88"/>
  <c r="W26" i="88"/>
  <c r="T90" i="88"/>
  <c r="T91" i="88"/>
  <c r="W36" i="88"/>
  <c r="T67" i="88"/>
  <c r="T66" i="88"/>
  <c r="W24" i="88"/>
  <c r="T86" i="88"/>
  <c r="T87" i="88"/>
  <c r="W34" i="88"/>
  <c r="T64" i="88"/>
  <c r="T65" i="88"/>
  <c r="W23" i="88"/>
  <c r="T94" i="88"/>
  <c r="T95" i="88"/>
  <c r="W38" i="88"/>
  <c r="I68" i="88"/>
  <c r="K68" i="88"/>
  <c r="J68" i="88"/>
  <c r="I84" i="88"/>
  <c r="K84" i="88"/>
  <c r="J84" i="88"/>
  <c r="J71" i="88"/>
  <c r="I71" i="88"/>
  <c r="K71" i="88"/>
  <c r="J87" i="88"/>
  <c r="K87" i="88"/>
  <c r="I87" i="88"/>
  <c r="K70" i="88"/>
  <c r="J70" i="88"/>
  <c r="I70" i="88"/>
  <c r="K86" i="88"/>
  <c r="I86" i="88"/>
  <c r="J86" i="88"/>
  <c r="I100" i="88"/>
  <c r="K100" i="88"/>
  <c r="J100" i="88"/>
  <c r="I108" i="88"/>
  <c r="K108" i="88"/>
  <c r="J108" i="88"/>
  <c r="J105" i="88"/>
  <c r="K105" i="88"/>
  <c r="I105" i="88"/>
  <c r="K73" i="88"/>
  <c r="J73" i="88"/>
  <c r="I73" i="88"/>
  <c r="I89" i="88"/>
  <c r="K89" i="88"/>
  <c r="J89" i="88"/>
  <c r="J103" i="88"/>
  <c r="K103" i="88"/>
  <c r="I103" i="88"/>
  <c r="T92" i="88"/>
  <c r="T93" i="88"/>
  <c r="W37" i="88"/>
  <c r="T58" i="88"/>
  <c r="W20" i="88"/>
  <c r="T59" i="88"/>
  <c r="T54" i="88"/>
  <c r="T55" i="88"/>
  <c r="W18" i="88"/>
  <c r="T48" i="88"/>
  <c r="T49" i="88"/>
  <c r="W15" i="88"/>
  <c r="V15" i="88"/>
  <c r="X15" i="88" s="1"/>
  <c r="V16" i="88" a="1"/>
  <c r="T50" i="88"/>
  <c r="T51" i="88"/>
  <c r="W16" i="88"/>
  <c r="T84" i="88"/>
  <c r="T85" i="88"/>
  <c r="W33" i="88"/>
  <c r="T52" i="88"/>
  <c r="T53" i="88"/>
  <c r="W17" i="88"/>
  <c r="J57" i="88"/>
  <c r="U4" i="88"/>
  <c r="V4" i="88" s="1"/>
  <c r="J58" i="88"/>
  <c r="I64" i="88"/>
  <c r="K64" i="88"/>
  <c r="J64" i="88"/>
  <c r="K58" i="88"/>
  <c r="U6" i="88"/>
  <c r="V6" i="88" s="1"/>
  <c r="K57" i="88"/>
  <c r="I72" i="88"/>
  <c r="K72" i="88"/>
  <c r="J72" i="88"/>
  <c r="I88" i="88"/>
  <c r="K88" i="88"/>
  <c r="J88" i="88"/>
  <c r="J75" i="88"/>
  <c r="I75" i="88"/>
  <c r="K75" i="88"/>
  <c r="J91" i="88"/>
  <c r="K91" i="88"/>
  <c r="I91" i="88"/>
  <c r="K74" i="88"/>
  <c r="J74" i="88"/>
  <c r="I74" i="88"/>
  <c r="K90" i="88"/>
  <c r="I90" i="88"/>
  <c r="J90" i="88"/>
  <c r="K102" i="88"/>
  <c r="I102" i="88"/>
  <c r="J102" i="88"/>
  <c r="K110" i="88"/>
  <c r="I110" i="88"/>
  <c r="J110" i="88"/>
  <c r="J109" i="88"/>
  <c r="K109" i="88"/>
  <c r="I109" i="88"/>
  <c r="K77" i="88"/>
  <c r="J77" i="88"/>
  <c r="I77" i="88"/>
  <c r="I93" i="88"/>
  <c r="K93" i="88"/>
  <c r="J93" i="88"/>
  <c r="J107" i="88"/>
  <c r="K107" i="88"/>
  <c r="I107" i="88"/>
  <c r="T74" i="88"/>
  <c r="T75" i="88"/>
  <c r="W28" i="88"/>
  <c r="T78" i="87"/>
  <c r="T79" i="87"/>
  <c r="W30" i="87"/>
  <c r="T67" i="87"/>
  <c r="T66" i="87"/>
  <c r="W24" i="87"/>
  <c r="J71" i="87"/>
  <c r="I71" i="87"/>
  <c r="K71" i="87"/>
  <c r="J87" i="87"/>
  <c r="I87" i="87"/>
  <c r="K87" i="87"/>
  <c r="I72" i="87"/>
  <c r="K72" i="87"/>
  <c r="J72" i="87"/>
  <c r="I88" i="87"/>
  <c r="K88" i="87"/>
  <c r="J88" i="87"/>
  <c r="I112" i="87"/>
  <c r="K112" i="87"/>
  <c r="J112" i="87"/>
  <c r="I100" i="87"/>
  <c r="K100" i="87"/>
  <c r="J100" i="87"/>
  <c r="K74" i="87"/>
  <c r="I74" i="87"/>
  <c r="J74" i="87"/>
  <c r="K90" i="87"/>
  <c r="J90" i="87"/>
  <c r="I90" i="87"/>
  <c r="K106" i="87"/>
  <c r="I106" i="87"/>
  <c r="J106" i="87"/>
  <c r="J109" i="87"/>
  <c r="K109" i="87"/>
  <c r="I109" i="87"/>
  <c r="I77" i="87"/>
  <c r="K77" i="87"/>
  <c r="J77" i="87"/>
  <c r="J93" i="87"/>
  <c r="I93" i="87"/>
  <c r="K93" i="87"/>
  <c r="J107" i="87"/>
  <c r="I107" i="87"/>
  <c r="K107" i="87"/>
  <c r="T55" i="87"/>
  <c r="W18" i="87"/>
  <c r="T54" i="87"/>
  <c r="T63" i="87"/>
  <c r="T62" i="87"/>
  <c r="W22" i="87"/>
  <c r="T68" i="87"/>
  <c r="T69" i="87"/>
  <c r="W25" i="87"/>
  <c r="T49" i="87"/>
  <c r="V16" i="87" a="1"/>
  <c r="W15" i="87"/>
  <c r="T48" i="87"/>
  <c r="V15" i="87"/>
  <c r="X15" i="87" s="1"/>
  <c r="J75" i="87"/>
  <c r="I75" i="87"/>
  <c r="K75" i="87"/>
  <c r="K58" i="87"/>
  <c r="K57" i="87"/>
  <c r="U6" i="87"/>
  <c r="V6" i="87" s="1"/>
  <c r="J58" i="87"/>
  <c r="U4" i="87"/>
  <c r="V4" i="87" s="1"/>
  <c r="J57" i="87"/>
  <c r="J63" i="87"/>
  <c r="K63" i="87"/>
  <c r="I63" i="87"/>
  <c r="I76" i="87"/>
  <c r="K76" i="87"/>
  <c r="J76" i="87"/>
  <c r="J91" i="87"/>
  <c r="I91" i="87"/>
  <c r="K91" i="87"/>
  <c r="I92" i="87"/>
  <c r="K92" i="87"/>
  <c r="J92" i="87"/>
  <c r="I108" i="87"/>
  <c r="K108" i="87"/>
  <c r="J108" i="87"/>
  <c r="K78" i="87"/>
  <c r="I78" i="87"/>
  <c r="J78" i="87"/>
  <c r="K94" i="87"/>
  <c r="J94" i="87"/>
  <c r="I94" i="87"/>
  <c r="K110" i="87"/>
  <c r="I110" i="87"/>
  <c r="J110" i="87"/>
  <c r="J113" i="87"/>
  <c r="K113" i="87"/>
  <c r="I113" i="87"/>
  <c r="I81" i="87"/>
  <c r="K81" i="87"/>
  <c r="J81" i="87"/>
  <c r="I97" i="87"/>
  <c r="K97" i="87"/>
  <c r="J97" i="87"/>
  <c r="J111" i="87"/>
  <c r="I111" i="87"/>
  <c r="K111" i="87"/>
  <c r="W26" i="87"/>
  <c r="T76" i="87"/>
  <c r="T77" i="87"/>
  <c r="W29" i="87"/>
  <c r="J79" i="87"/>
  <c r="I79" i="87"/>
  <c r="K79" i="87"/>
  <c r="J67" i="87"/>
  <c r="K67" i="87"/>
  <c r="I67" i="87"/>
  <c r="I80" i="87"/>
  <c r="K80" i="87"/>
  <c r="J80" i="87"/>
  <c r="K66" i="87"/>
  <c r="J66" i="87"/>
  <c r="I66" i="87"/>
  <c r="I96" i="87"/>
  <c r="J96" i="87"/>
  <c r="K96" i="87"/>
  <c r="I65" i="87"/>
  <c r="K65" i="87"/>
  <c r="J65" i="87"/>
  <c r="K82" i="87"/>
  <c r="I82" i="87"/>
  <c r="J82" i="87"/>
  <c r="K98" i="87"/>
  <c r="I98" i="87"/>
  <c r="J98" i="87"/>
  <c r="J101" i="87"/>
  <c r="K101" i="87"/>
  <c r="I101" i="87"/>
  <c r="I69" i="87"/>
  <c r="K69" i="87"/>
  <c r="J69" i="87"/>
  <c r="I85" i="87"/>
  <c r="K85" i="87"/>
  <c r="J85" i="87"/>
  <c r="J99" i="87"/>
  <c r="I99" i="87"/>
  <c r="K99" i="87"/>
  <c r="T84" i="87"/>
  <c r="T85" i="87"/>
  <c r="W33" i="87"/>
  <c r="T82" i="87"/>
  <c r="W32" i="87"/>
  <c r="T83" i="87"/>
  <c r="T86" i="87"/>
  <c r="T87" i="87"/>
  <c r="W34" i="87"/>
  <c r="T92" i="87"/>
  <c r="T93" i="87"/>
  <c r="W37" i="87"/>
  <c r="I64" i="87"/>
  <c r="J64" i="87"/>
  <c r="K64" i="87"/>
  <c r="J83" i="87"/>
  <c r="I83" i="87"/>
  <c r="K83" i="87"/>
  <c r="I68" i="87"/>
  <c r="K68" i="87"/>
  <c r="J68" i="87"/>
  <c r="I84" i="87"/>
  <c r="K84" i="87"/>
  <c r="J84" i="87"/>
  <c r="I104" i="87"/>
  <c r="K104" i="87"/>
  <c r="J104" i="87"/>
  <c r="J95" i="87"/>
  <c r="I95" i="87"/>
  <c r="K95" i="87"/>
  <c r="K70" i="87"/>
  <c r="I70" i="87"/>
  <c r="J70" i="87"/>
  <c r="K86" i="87"/>
  <c r="I86" i="87"/>
  <c r="J86" i="87"/>
  <c r="K102" i="87"/>
  <c r="I102" i="87"/>
  <c r="J102" i="87"/>
  <c r="J105" i="87"/>
  <c r="K105" i="87"/>
  <c r="I105" i="87"/>
  <c r="I73" i="87"/>
  <c r="K73" i="87"/>
  <c r="J73" i="87"/>
  <c r="J89" i="87"/>
  <c r="I89" i="87"/>
  <c r="K89" i="87"/>
  <c r="J103" i="87"/>
  <c r="I103" i="87"/>
  <c r="K103" i="87"/>
  <c r="T57" i="87"/>
  <c r="T56" i="87"/>
  <c r="W19" i="87"/>
  <c r="T72" i="87"/>
  <c r="T73" i="87"/>
  <c r="W27" i="87"/>
  <c r="U36" i="45"/>
  <c r="T90" i="45" s="1"/>
  <c r="U18" i="45"/>
  <c r="T55" i="45" s="1"/>
  <c r="U23" i="45"/>
  <c r="U20" i="45"/>
  <c r="U25" i="45"/>
  <c r="T69" i="45" s="1"/>
  <c r="U34" i="45"/>
  <c r="T86" i="45" s="1"/>
  <c r="U39" i="45"/>
  <c r="I108" i="45"/>
  <c r="T90" i="86"/>
  <c r="T91" i="86"/>
  <c r="W36" i="86"/>
  <c r="T96" i="86"/>
  <c r="T97" i="86"/>
  <c r="W39" i="86"/>
  <c r="K78" i="86"/>
  <c r="I78" i="86"/>
  <c r="J78" i="86"/>
  <c r="K94" i="86"/>
  <c r="I94" i="86"/>
  <c r="J94" i="86"/>
  <c r="I104" i="86"/>
  <c r="K104" i="86"/>
  <c r="J104" i="86"/>
  <c r="I112" i="86"/>
  <c r="K112" i="86"/>
  <c r="J112" i="86"/>
  <c r="I67" i="86"/>
  <c r="K67" i="86"/>
  <c r="J67" i="86"/>
  <c r="K68" i="86"/>
  <c r="J68" i="86"/>
  <c r="I68" i="86"/>
  <c r="I80" i="86"/>
  <c r="K80" i="86"/>
  <c r="J80" i="86"/>
  <c r="I96" i="86"/>
  <c r="K96" i="86"/>
  <c r="J96" i="86"/>
  <c r="J83" i="86"/>
  <c r="K83" i="86"/>
  <c r="I83" i="86"/>
  <c r="J101" i="86"/>
  <c r="K101" i="86"/>
  <c r="I101" i="86"/>
  <c r="J77" i="86"/>
  <c r="K77" i="86"/>
  <c r="I77" i="86"/>
  <c r="J93" i="86"/>
  <c r="K93" i="86"/>
  <c r="I93" i="86"/>
  <c r="J107" i="86"/>
  <c r="K107" i="86"/>
  <c r="I107" i="86"/>
  <c r="T94" i="86"/>
  <c r="T95" i="86"/>
  <c r="W38" i="86"/>
  <c r="T57" i="86"/>
  <c r="T56" i="86"/>
  <c r="W19" i="86"/>
  <c r="T70" i="86"/>
  <c r="T71" i="86"/>
  <c r="W26" i="86"/>
  <c r="V16" i="86" a="1"/>
  <c r="K82" i="86"/>
  <c r="I82" i="86"/>
  <c r="J82" i="86"/>
  <c r="K72" i="86"/>
  <c r="J72" i="86"/>
  <c r="I72" i="86"/>
  <c r="K65" i="86"/>
  <c r="J65" i="86"/>
  <c r="I65" i="86"/>
  <c r="K98" i="86"/>
  <c r="I98" i="86"/>
  <c r="J98" i="86"/>
  <c r="K106" i="86"/>
  <c r="I106" i="86"/>
  <c r="J106" i="86"/>
  <c r="J58" i="86"/>
  <c r="J57" i="86"/>
  <c r="U4" i="86"/>
  <c r="V4" i="86" s="1"/>
  <c r="I70" i="86"/>
  <c r="J70" i="86"/>
  <c r="K70" i="86"/>
  <c r="J69" i="86"/>
  <c r="I69" i="86"/>
  <c r="K69" i="86"/>
  <c r="I84" i="86"/>
  <c r="K84" i="86"/>
  <c r="J84" i="86"/>
  <c r="K71" i="86"/>
  <c r="J71" i="86"/>
  <c r="I71" i="86"/>
  <c r="J87" i="86"/>
  <c r="K87" i="86"/>
  <c r="I87" i="86"/>
  <c r="J105" i="86"/>
  <c r="K105" i="86"/>
  <c r="I105" i="86"/>
  <c r="J81" i="86"/>
  <c r="K81" i="86"/>
  <c r="I81" i="86"/>
  <c r="J97" i="86"/>
  <c r="K97" i="86"/>
  <c r="I97" i="86"/>
  <c r="J111" i="86"/>
  <c r="K111" i="86"/>
  <c r="I111" i="86"/>
  <c r="T53" i="86"/>
  <c r="W17" i="86"/>
  <c r="T52" i="86"/>
  <c r="T54" i="86"/>
  <c r="T55" i="86"/>
  <c r="W18" i="86"/>
  <c r="T58" i="86"/>
  <c r="W20" i="86"/>
  <c r="T59" i="86"/>
  <c r="T74" i="86"/>
  <c r="W28" i="86"/>
  <c r="T75" i="86"/>
  <c r="V15" i="86"/>
  <c r="X15" i="86" s="1"/>
  <c r="K86" i="86"/>
  <c r="I86" i="86"/>
  <c r="J86" i="86"/>
  <c r="I100" i="86"/>
  <c r="K100" i="86"/>
  <c r="J100" i="86"/>
  <c r="I108" i="86"/>
  <c r="K108" i="86"/>
  <c r="J108" i="86"/>
  <c r="K57" i="86"/>
  <c r="K58" i="86"/>
  <c r="U6" i="86"/>
  <c r="V6" i="86" s="1"/>
  <c r="I74" i="86"/>
  <c r="J74" i="86"/>
  <c r="K74" i="86"/>
  <c r="J73" i="86"/>
  <c r="I73" i="86"/>
  <c r="K73" i="86"/>
  <c r="I88" i="86"/>
  <c r="K88" i="86"/>
  <c r="J88" i="86"/>
  <c r="K75" i="86"/>
  <c r="J75" i="86"/>
  <c r="I75" i="86"/>
  <c r="J91" i="86"/>
  <c r="K91" i="86"/>
  <c r="I91" i="86"/>
  <c r="J109" i="86"/>
  <c r="K109" i="86"/>
  <c r="I109" i="86"/>
  <c r="J85" i="86"/>
  <c r="K85" i="86"/>
  <c r="I85" i="86"/>
  <c r="J99" i="86"/>
  <c r="K99" i="86"/>
  <c r="I99" i="86"/>
  <c r="T84" i="86"/>
  <c r="T85" i="86"/>
  <c r="W33" i="86"/>
  <c r="T76" i="86"/>
  <c r="T77" i="86"/>
  <c r="W29" i="86"/>
  <c r="W27" i="86"/>
  <c r="T88" i="86"/>
  <c r="T89" i="86"/>
  <c r="W35" i="86"/>
  <c r="J66" i="86"/>
  <c r="I66" i="86"/>
  <c r="K66" i="86"/>
  <c r="K90" i="86"/>
  <c r="I90" i="86"/>
  <c r="J90" i="86"/>
  <c r="K102" i="86"/>
  <c r="I102" i="86"/>
  <c r="J102" i="86"/>
  <c r="K110" i="86"/>
  <c r="I110" i="86"/>
  <c r="J110" i="86"/>
  <c r="I63" i="86"/>
  <c r="K63" i="86"/>
  <c r="J63" i="86"/>
  <c r="K64" i="86"/>
  <c r="J64" i="86"/>
  <c r="I64" i="86"/>
  <c r="I76" i="86"/>
  <c r="K76" i="86"/>
  <c r="J76" i="86"/>
  <c r="I92" i="86"/>
  <c r="K92" i="86"/>
  <c r="J92" i="86"/>
  <c r="J79" i="86"/>
  <c r="K79" i="86"/>
  <c r="I79" i="86"/>
  <c r="J95" i="86"/>
  <c r="K95" i="86"/>
  <c r="I95" i="86"/>
  <c r="J113" i="86"/>
  <c r="K113" i="86"/>
  <c r="I113" i="86"/>
  <c r="J89" i="86"/>
  <c r="K89" i="86"/>
  <c r="I89" i="86"/>
  <c r="J103" i="86"/>
  <c r="K103" i="86"/>
  <c r="I103" i="86"/>
  <c r="T69" i="86"/>
  <c r="W25" i="86"/>
  <c r="T68" i="86"/>
  <c r="T65" i="86"/>
  <c r="T64" i="86"/>
  <c r="W23" i="86"/>
  <c r="J80" i="45"/>
  <c r="K109" i="45"/>
  <c r="I96" i="45"/>
  <c r="J84" i="45"/>
  <c r="K68" i="45"/>
  <c r="I89" i="45"/>
  <c r="K69" i="45"/>
  <c r="I101" i="45"/>
  <c r="I105" i="45"/>
  <c r="K96" i="45"/>
  <c r="K108" i="45"/>
  <c r="I68" i="45"/>
  <c r="I109" i="45"/>
  <c r="I69" i="45"/>
  <c r="J76" i="45"/>
  <c r="K84" i="45"/>
  <c r="I76" i="45"/>
  <c r="U6" i="45"/>
  <c r="V6" i="45" s="1"/>
  <c r="K58" i="45"/>
  <c r="K57" i="45"/>
  <c r="J85" i="45"/>
  <c r="I85" i="45"/>
  <c r="K85" i="45"/>
  <c r="U4" i="45"/>
  <c r="V4" i="45" s="1"/>
  <c r="J58" i="45"/>
  <c r="J57" i="45"/>
  <c r="J93" i="45"/>
  <c r="K93" i="45"/>
  <c r="K92" i="45"/>
  <c r="J77" i="45"/>
  <c r="I77" i="45"/>
  <c r="K77" i="45"/>
  <c r="I92" i="45"/>
  <c r="K105" i="45"/>
  <c r="I66" i="45"/>
  <c r="K66" i="45"/>
  <c r="J66" i="45"/>
  <c r="I82" i="45"/>
  <c r="K82" i="45"/>
  <c r="J82" i="45"/>
  <c r="I98" i="45"/>
  <c r="K98" i="45"/>
  <c r="J98" i="45"/>
  <c r="J67" i="45"/>
  <c r="K67" i="45"/>
  <c r="I67" i="45"/>
  <c r="J83" i="45"/>
  <c r="K83" i="45"/>
  <c r="I83" i="45"/>
  <c r="J99" i="45"/>
  <c r="K99" i="45"/>
  <c r="I99" i="45"/>
  <c r="U28" i="45"/>
  <c r="W29" i="45" s="1"/>
  <c r="U17" i="45"/>
  <c r="U33" i="45"/>
  <c r="U26" i="45"/>
  <c r="U15" i="45"/>
  <c r="U31" i="45"/>
  <c r="J81" i="45"/>
  <c r="I81" i="45"/>
  <c r="K81" i="45"/>
  <c r="J113" i="45"/>
  <c r="K113" i="45"/>
  <c r="I113" i="45"/>
  <c r="J71" i="45"/>
  <c r="I71" i="45"/>
  <c r="K71" i="45"/>
  <c r="J87" i="45"/>
  <c r="I87" i="45"/>
  <c r="K87" i="45"/>
  <c r="J103" i="45"/>
  <c r="K103" i="45"/>
  <c r="I103" i="45"/>
  <c r="I70" i="45"/>
  <c r="K70" i="45"/>
  <c r="J70" i="45"/>
  <c r="I86" i="45"/>
  <c r="K86" i="45"/>
  <c r="J86" i="45"/>
  <c r="I102" i="45"/>
  <c r="K102" i="45"/>
  <c r="J102" i="45"/>
  <c r="U16" i="45"/>
  <c r="U32" i="45"/>
  <c r="U21" i="45"/>
  <c r="U37" i="45"/>
  <c r="U30" i="45"/>
  <c r="U19" i="45"/>
  <c r="W20" i="45" s="1"/>
  <c r="U35" i="45"/>
  <c r="W36" i="45" s="1"/>
  <c r="I74" i="45"/>
  <c r="K74" i="45"/>
  <c r="J74" i="45"/>
  <c r="I90" i="45"/>
  <c r="K90" i="45"/>
  <c r="J90" i="45"/>
  <c r="I106" i="45"/>
  <c r="K106" i="45"/>
  <c r="J106" i="45"/>
  <c r="J75" i="45"/>
  <c r="K75" i="45"/>
  <c r="I75" i="45"/>
  <c r="J91" i="45"/>
  <c r="K91" i="45"/>
  <c r="I91" i="45"/>
  <c r="J107" i="45"/>
  <c r="K107" i="45"/>
  <c r="I107" i="45"/>
  <c r="T59" i="45"/>
  <c r="T58" i="45"/>
  <c r="T68" i="45"/>
  <c r="T87" i="45"/>
  <c r="T64" i="45"/>
  <c r="T65" i="45"/>
  <c r="W23" i="45"/>
  <c r="T96" i="45"/>
  <c r="T97" i="45"/>
  <c r="W39" i="45"/>
  <c r="J65" i="45"/>
  <c r="I65" i="45"/>
  <c r="K65" i="45"/>
  <c r="J97" i="45"/>
  <c r="I97" i="45"/>
  <c r="K97" i="45"/>
  <c r="J63" i="45"/>
  <c r="I63" i="45"/>
  <c r="K63" i="45"/>
  <c r="J79" i="45"/>
  <c r="I79" i="45"/>
  <c r="K79" i="45"/>
  <c r="J95" i="45"/>
  <c r="K95" i="45"/>
  <c r="I95" i="45"/>
  <c r="J111" i="45"/>
  <c r="K111" i="45"/>
  <c r="I111" i="45"/>
  <c r="I78" i="45"/>
  <c r="J78" i="45"/>
  <c r="K78" i="45"/>
  <c r="I94" i="45"/>
  <c r="J94" i="45"/>
  <c r="K94" i="45"/>
  <c r="I110" i="45"/>
  <c r="J110" i="45"/>
  <c r="K110" i="45"/>
  <c r="T67" i="45"/>
  <c r="W24" i="45"/>
  <c r="T66" i="45"/>
  <c r="T47" i="45"/>
  <c r="T46" i="45"/>
  <c r="T77" i="45"/>
  <c r="T76" i="45"/>
  <c r="T62" i="45"/>
  <c r="T63" i="45"/>
  <c r="T72" i="45"/>
  <c r="T73" i="45"/>
  <c r="W27" i="45"/>
  <c r="T47" i="44"/>
  <c r="X14" i="44"/>
  <c r="T46" i="44"/>
  <c r="U35" i="44"/>
  <c r="U33" i="44"/>
  <c r="U31" i="44"/>
  <c r="U29" i="44"/>
  <c r="U27" i="44"/>
  <c r="U25" i="44"/>
  <c r="U23" i="44"/>
  <c r="U21" i="44"/>
  <c r="U19" i="44"/>
  <c r="U17" i="44"/>
  <c r="U38" i="44"/>
  <c r="U36" i="44"/>
  <c r="U34" i="44"/>
  <c r="U32" i="44"/>
  <c r="U30" i="44"/>
  <c r="U28" i="44"/>
  <c r="U26" i="44"/>
  <c r="U24" i="44"/>
  <c r="U22" i="44"/>
  <c r="U20" i="44"/>
  <c r="U18" i="44"/>
  <c r="U15" i="44"/>
  <c r="U39" i="44"/>
  <c r="U16" i="44"/>
  <c r="U37" i="44"/>
  <c r="F57" i="44"/>
  <c r="B23" i="43"/>
  <c r="B22" i="43"/>
  <c r="B25" i="43"/>
  <c r="B24" i="43"/>
  <c r="B21" i="43"/>
  <c r="H58" i="44"/>
  <c r="B13" i="43"/>
  <c r="E31" i="45"/>
  <c r="F28" i="45"/>
  <c r="E30" i="45"/>
  <c r="F27" i="45"/>
  <c r="T88" i="112" l="1"/>
  <c r="T89" i="112"/>
  <c r="T85" i="115"/>
  <c r="T84" i="115"/>
  <c r="T52" i="115"/>
  <c r="T53" i="115"/>
  <c r="T92" i="115"/>
  <c r="T93" i="115"/>
  <c r="V24" i="113"/>
  <c r="X24" i="113" s="1"/>
  <c r="V40" i="113"/>
  <c r="X40" i="113" s="1"/>
  <c r="U97" i="113" s="1"/>
  <c r="V29" i="113"/>
  <c r="X29" i="113" s="1"/>
  <c r="V22" i="113"/>
  <c r="X22" i="113" s="1"/>
  <c r="U62" i="113" s="1"/>
  <c r="V38" i="113"/>
  <c r="X38" i="113" s="1"/>
  <c r="V31" i="113"/>
  <c r="X31" i="113" s="1"/>
  <c r="V28" i="113"/>
  <c r="X28" i="113" s="1"/>
  <c r="V17" i="113"/>
  <c r="X17" i="113" s="1"/>
  <c r="U52" i="113" s="1"/>
  <c r="V33" i="113"/>
  <c r="X33" i="113" s="1"/>
  <c r="V26" i="113"/>
  <c r="X26" i="113" s="1"/>
  <c r="V19" i="113"/>
  <c r="X19" i="113" s="1"/>
  <c r="V35" i="113"/>
  <c r="X35" i="113" s="1"/>
  <c r="U87" i="113" s="1"/>
  <c r="V16" i="113"/>
  <c r="X16" i="113" s="1"/>
  <c r="V32" i="113"/>
  <c r="X32" i="113" s="1"/>
  <c r="V21" i="113"/>
  <c r="X21" i="113" s="1"/>
  <c r="V37" i="113"/>
  <c r="X37" i="113" s="1"/>
  <c r="U91" i="113" s="1"/>
  <c r="V30" i="113"/>
  <c r="X30" i="113" s="1"/>
  <c r="V23" i="113"/>
  <c r="X23" i="113" s="1"/>
  <c r="T84" i="112"/>
  <c r="W33" i="112"/>
  <c r="T85" i="112"/>
  <c r="T50" i="112"/>
  <c r="W16" i="112"/>
  <c r="T51" i="112"/>
  <c r="T91" i="112"/>
  <c r="T90" i="112"/>
  <c r="W36" i="112"/>
  <c r="T71" i="112"/>
  <c r="T70" i="112"/>
  <c r="W26" i="112"/>
  <c r="W34" i="112"/>
  <c r="T87" i="112"/>
  <c r="T86" i="112"/>
  <c r="W35" i="112"/>
  <c r="W27" i="112"/>
  <c r="T72" i="112"/>
  <c r="T73" i="112"/>
  <c r="T95" i="112"/>
  <c r="W39" i="112"/>
  <c r="T94" i="112"/>
  <c r="W38" i="112"/>
  <c r="T66" i="112"/>
  <c r="W24" i="112"/>
  <c r="T67" i="112"/>
  <c r="W25" i="112"/>
  <c r="T69" i="112"/>
  <c r="T68" i="112"/>
  <c r="T55" i="112"/>
  <c r="W18" i="112"/>
  <c r="W19" i="112"/>
  <c r="T54" i="112"/>
  <c r="W17" i="112"/>
  <c r="T53" i="112"/>
  <c r="T52" i="112"/>
  <c r="T75" i="112"/>
  <c r="T74" i="112"/>
  <c r="W28" i="112"/>
  <c r="T77" i="112"/>
  <c r="W29" i="112"/>
  <c r="T76" i="112"/>
  <c r="T58" i="112"/>
  <c r="T59" i="112"/>
  <c r="W20" i="112"/>
  <c r="T92" i="112"/>
  <c r="W37" i="112"/>
  <c r="T93" i="112"/>
  <c r="T79" i="112"/>
  <c r="T78" i="112"/>
  <c r="W30" i="112"/>
  <c r="T49" i="112"/>
  <c r="V16" i="112" a="1"/>
  <c r="W15" i="112"/>
  <c r="T48" i="112"/>
  <c r="V15" i="112"/>
  <c r="X15" i="112" s="1"/>
  <c r="T80" i="112"/>
  <c r="T81" i="112"/>
  <c r="W31" i="112"/>
  <c r="T64" i="112"/>
  <c r="T65" i="112"/>
  <c r="W23" i="112"/>
  <c r="T60" i="112"/>
  <c r="W21" i="112"/>
  <c r="T61" i="112"/>
  <c r="W32" i="112"/>
  <c r="U48" i="111"/>
  <c r="U47" i="90"/>
  <c r="W25" i="45"/>
  <c r="T91" i="45"/>
  <c r="W38" i="45"/>
  <c r="T95" i="45"/>
  <c r="E106" i="120"/>
  <c r="T65" i="115"/>
  <c r="W23" i="115"/>
  <c r="T64" i="115"/>
  <c r="W21" i="115"/>
  <c r="T60" i="115"/>
  <c r="T61" i="115"/>
  <c r="T95" i="115"/>
  <c r="T94" i="115"/>
  <c r="W38" i="115"/>
  <c r="T89" i="115"/>
  <c r="T88" i="115"/>
  <c r="W35" i="115"/>
  <c r="T80" i="115"/>
  <c r="T81" i="115"/>
  <c r="W31" i="115"/>
  <c r="W37" i="115"/>
  <c r="T91" i="115"/>
  <c r="T90" i="115"/>
  <c r="W36" i="115"/>
  <c r="T72" i="115"/>
  <c r="T73" i="115"/>
  <c r="W27" i="115"/>
  <c r="T96" i="115"/>
  <c r="T97" i="115"/>
  <c r="W39" i="115"/>
  <c r="T83" i="115"/>
  <c r="T82" i="115"/>
  <c r="W33" i="115"/>
  <c r="W32" i="115"/>
  <c r="T63" i="115"/>
  <c r="T62" i="115"/>
  <c r="W22" i="115"/>
  <c r="T79" i="115"/>
  <c r="T78" i="115"/>
  <c r="W30" i="115"/>
  <c r="T56" i="115"/>
  <c r="T57" i="115"/>
  <c r="W19" i="115"/>
  <c r="T59" i="115"/>
  <c r="W20" i="115"/>
  <c r="T58" i="115"/>
  <c r="W18" i="115"/>
  <c r="T54" i="115"/>
  <c r="T55" i="115"/>
  <c r="T75" i="115"/>
  <c r="T74" i="115"/>
  <c r="W28" i="115"/>
  <c r="T51" i="115"/>
  <c r="W16" i="115"/>
  <c r="T50" i="115"/>
  <c r="W17" i="115"/>
  <c r="T70" i="115"/>
  <c r="W26" i="115"/>
  <c r="T71" i="115"/>
  <c r="W34" i="115"/>
  <c r="T87" i="115"/>
  <c r="T86" i="115"/>
  <c r="T68" i="115"/>
  <c r="W25" i="115"/>
  <c r="T69" i="115"/>
  <c r="T48" i="115"/>
  <c r="V15" i="115"/>
  <c r="X15" i="115" s="1"/>
  <c r="T49" i="115"/>
  <c r="V16" i="115" a="1"/>
  <c r="W15" i="115"/>
  <c r="T66" i="115"/>
  <c r="T67" i="115"/>
  <c r="W24" i="115"/>
  <c r="T76" i="115"/>
  <c r="W29" i="115"/>
  <c r="T77" i="115"/>
  <c r="T87" i="110"/>
  <c r="T86" i="110"/>
  <c r="W34" i="110"/>
  <c r="W18" i="110"/>
  <c r="T55" i="110"/>
  <c r="T54" i="110"/>
  <c r="T72" i="110"/>
  <c r="W27" i="110"/>
  <c r="T73" i="110"/>
  <c r="T79" i="110"/>
  <c r="T78" i="110"/>
  <c r="W30" i="110"/>
  <c r="T74" i="110"/>
  <c r="W28" i="110"/>
  <c r="T75" i="110"/>
  <c r="W37" i="110"/>
  <c r="T92" i="110"/>
  <c r="T93" i="110"/>
  <c r="W19" i="110"/>
  <c r="T56" i="110"/>
  <c r="T57" i="110"/>
  <c r="W36" i="110"/>
  <c r="T91" i="110"/>
  <c r="T90" i="110"/>
  <c r="T80" i="110"/>
  <c r="T81" i="110"/>
  <c r="W31" i="110"/>
  <c r="W22" i="110"/>
  <c r="T63" i="110"/>
  <c r="T62" i="110"/>
  <c r="T60" i="110"/>
  <c r="T61" i="110"/>
  <c r="W21" i="110"/>
  <c r="T83" i="110"/>
  <c r="T82" i="110"/>
  <c r="W32" i="110"/>
  <c r="T84" i="110"/>
  <c r="T85" i="110"/>
  <c r="W33" i="110"/>
  <c r="T71" i="110"/>
  <c r="T70" i="110"/>
  <c r="W26" i="110"/>
  <c r="T76" i="110"/>
  <c r="W29" i="110"/>
  <c r="T77" i="110"/>
  <c r="T53" i="110"/>
  <c r="T52" i="110"/>
  <c r="W17" i="110"/>
  <c r="T88" i="110"/>
  <c r="T89" i="110"/>
  <c r="W35" i="110"/>
  <c r="T64" i="110"/>
  <c r="T65" i="110"/>
  <c r="W23" i="110"/>
  <c r="T94" i="110"/>
  <c r="W38" i="110"/>
  <c r="T95" i="110"/>
  <c r="T96" i="110"/>
  <c r="T97" i="110"/>
  <c r="W39" i="110"/>
  <c r="T51" i="110"/>
  <c r="T50" i="110"/>
  <c r="W16" i="110"/>
  <c r="V16" i="110" a="1"/>
  <c r="W15" i="110"/>
  <c r="T48" i="110"/>
  <c r="V15" i="110"/>
  <c r="X15" i="110" s="1"/>
  <c r="T49" i="110"/>
  <c r="T66" i="110"/>
  <c r="T67" i="110"/>
  <c r="W24" i="110"/>
  <c r="T58" i="110"/>
  <c r="T59" i="110"/>
  <c r="W20" i="110"/>
  <c r="T69" i="110"/>
  <c r="W25" i="110"/>
  <c r="T68" i="110"/>
  <c r="T57" i="107"/>
  <c r="T56" i="107"/>
  <c r="W19" i="107"/>
  <c r="T66" i="107"/>
  <c r="T67" i="107"/>
  <c r="W24" i="107"/>
  <c r="T75" i="107"/>
  <c r="W28" i="107"/>
  <c r="T74" i="107"/>
  <c r="T64" i="107"/>
  <c r="W23" i="107"/>
  <c r="T65" i="107"/>
  <c r="T52" i="107"/>
  <c r="W17" i="107"/>
  <c r="T53" i="107"/>
  <c r="T94" i="107"/>
  <c r="W38" i="107"/>
  <c r="T95" i="107"/>
  <c r="W39" i="107"/>
  <c r="T97" i="107"/>
  <c r="T96" i="107"/>
  <c r="W29" i="107"/>
  <c r="T76" i="107"/>
  <c r="T77" i="107"/>
  <c r="T83" i="107"/>
  <c r="T82" i="107"/>
  <c r="W32" i="107"/>
  <c r="T80" i="107"/>
  <c r="T81" i="107"/>
  <c r="W31" i="107"/>
  <c r="T87" i="107"/>
  <c r="W34" i="107"/>
  <c r="T86" i="107"/>
  <c r="T92" i="107"/>
  <c r="T93" i="107"/>
  <c r="W37" i="107"/>
  <c r="W35" i="107"/>
  <c r="T88" i="107"/>
  <c r="T89" i="107"/>
  <c r="W20" i="107"/>
  <c r="T58" i="107"/>
  <c r="T59" i="107"/>
  <c r="T60" i="107"/>
  <c r="W21" i="107"/>
  <c r="T61" i="107"/>
  <c r="T84" i="107"/>
  <c r="T85" i="107"/>
  <c r="W33" i="107"/>
  <c r="T63" i="107"/>
  <c r="T62" i="107"/>
  <c r="W22" i="107"/>
  <c r="W26" i="107"/>
  <c r="T70" i="107"/>
  <c r="T71" i="107"/>
  <c r="W36" i="107"/>
  <c r="T90" i="107"/>
  <c r="T91" i="107"/>
  <c r="T78" i="107"/>
  <c r="T79" i="107"/>
  <c r="W30" i="107"/>
  <c r="T68" i="107"/>
  <c r="T69" i="107"/>
  <c r="W25" i="107"/>
  <c r="T50" i="107"/>
  <c r="W16" i="107"/>
  <c r="T51" i="107"/>
  <c r="T72" i="107"/>
  <c r="T73" i="107"/>
  <c r="W27" i="107"/>
  <c r="V16" i="107" a="1"/>
  <c r="W15" i="107"/>
  <c r="T49" i="107"/>
  <c r="T48" i="107"/>
  <c r="V15" i="107"/>
  <c r="X15" i="107" s="1"/>
  <c r="T55" i="107"/>
  <c r="W18" i="107"/>
  <c r="T54" i="107"/>
  <c r="T83" i="104"/>
  <c r="W32" i="104"/>
  <c r="T82" i="104"/>
  <c r="T66" i="104"/>
  <c r="W24" i="104"/>
  <c r="T67" i="104"/>
  <c r="T68" i="104"/>
  <c r="T69" i="104"/>
  <c r="W25" i="104"/>
  <c r="T90" i="104"/>
  <c r="W36" i="104"/>
  <c r="T91" i="104"/>
  <c r="T50" i="104"/>
  <c r="T51" i="104"/>
  <c r="W16" i="104"/>
  <c r="T63" i="104"/>
  <c r="W22" i="104"/>
  <c r="T62" i="104"/>
  <c r="T71" i="104"/>
  <c r="W26" i="104"/>
  <c r="T70" i="104"/>
  <c r="W31" i="104"/>
  <c r="T80" i="104"/>
  <c r="T81" i="104"/>
  <c r="W20" i="104"/>
  <c r="T59" i="104"/>
  <c r="T58" i="104"/>
  <c r="T96" i="104"/>
  <c r="W39" i="104"/>
  <c r="T97" i="104"/>
  <c r="W23" i="104"/>
  <c r="T65" i="104"/>
  <c r="T64" i="104"/>
  <c r="T85" i="104"/>
  <c r="T84" i="104"/>
  <c r="W33" i="104"/>
  <c r="T77" i="104"/>
  <c r="W29" i="104"/>
  <c r="T76" i="104"/>
  <c r="W34" i="104"/>
  <c r="T86" i="104"/>
  <c r="T87" i="104"/>
  <c r="T94" i="104"/>
  <c r="T95" i="104"/>
  <c r="W38" i="104"/>
  <c r="T92" i="104"/>
  <c r="W37" i="104"/>
  <c r="T93" i="104"/>
  <c r="V16" i="104" a="1"/>
  <c r="W15" i="104"/>
  <c r="T49" i="104"/>
  <c r="V15" i="104"/>
  <c r="X15" i="104" s="1"/>
  <c r="T48" i="104"/>
  <c r="W35" i="104"/>
  <c r="T88" i="104"/>
  <c r="T89" i="104"/>
  <c r="T55" i="104"/>
  <c r="W18" i="104"/>
  <c r="T54" i="104"/>
  <c r="W21" i="104"/>
  <c r="T61" i="104"/>
  <c r="T60" i="104"/>
  <c r="T79" i="104"/>
  <c r="W30" i="104"/>
  <c r="T78" i="104"/>
  <c r="W17" i="104"/>
  <c r="T52" i="104"/>
  <c r="T53" i="104"/>
  <c r="T73" i="104"/>
  <c r="T72" i="104"/>
  <c r="W27" i="104"/>
  <c r="T56" i="104"/>
  <c r="T57" i="104"/>
  <c r="W19" i="104"/>
  <c r="T75" i="104"/>
  <c r="T74" i="104"/>
  <c r="W28" i="104"/>
  <c r="W21" i="99"/>
  <c r="T60" i="99"/>
  <c r="T61" i="99"/>
  <c r="T81" i="99"/>
  <c r="T80" i="99"/>
  <c r="W31" i="99"/>
  <c r="W17" i="99"/>
  <c r="T52" i="99"/>
  <c r="T53" i="99"/>
  <c r="T90" i="99"/>
  <c r="W36" i="99"/>
  <c r="T91" i="99"/>
  <c r="W26" i="99"/>
  <c r="T71" i="99"/>
  <c r="T70" i="99"/>
  <c r="T68" i="99"/>
  <c r="T69" i="99"/>
  <c r="W25" i="99"/>
  <c r="T88" i="99"/>
  <c r="W35" i="99"/>
  <c r="T89" i="99"/>
  <c r="W33" i="99"/>
  <c r="T85" i="99"/>
  <c r="T84" i="99"/>
  <c r="T96" i="99"/>
  <c r="T97" i="99"/>
  <c r="W39" i="99"/>
  <c r="W23" i="99"/>
  <c r="T64" i="99"/>
  <c r="T65" i="99"/>
  <c r="T77" i="99"/>
  <c r="T76" i="99"/>
  <c r="W29" i="99"/>
  <c r="T58" i="99"/>
  <c r="W20" i="99"/>
  <c r="T59" i="99"/>
  <c r="W34" i="99"/>
  <c r="T86" i="99"/>
  <c r="T87" i="99"/>
  <c r="T67" i="99"/>
  <c r="T66" i="99"/>
  <c r="W24" i="99"/>
  <c r="W18" i="99"/>
  <c r="T54" i="99"/>
  <c r="T55" i="99"/>
  <c r="T74" i="99"/>
  <c r="T75" i="99"/>
  <c r="W28" i="99"/>
  <c r="T62" i="99"/>
  <c r="W22" i="99"/>
  <c r="T63" i="99"/>
  <c r="T57" i="99"/>
  <c r="T56" i="99"/>
  <c r="W19" i="99"/>
  <c r="T48" i="99"/>
  <c r="W15" i="99"/>
  <c r="V15" i="99"/>
  <c r="X15" i="99" s="1"/>
  <c r="V16" i="99" a="1"/>
  <c r="T49" i="99"/>
  <c r="W37" i="99"/>
  <c r="T92" i="99"/>
  <c r="T93" i="99"/>
  <c r="T82" i="99"/>
  <c r="W32" i="99"/>
  <c r="T83" i="99"/>
  <c r="T73" i="99"/>
  <c r="W27" i="99"/>
  <c r="T72" i="99"/>
  <c r="T95" i="99"/>
  <c r="W38" i="99"/>
  <c r="T94" i="99"/>
  <c r="T50" i="99"/>
  <c r="T51" i="99"/>
  <c r="W16" i="99"/>
  <c r="T79" i="99"/>
  <c r="T78" i="99"/>
  <c r="W30" i="99"/>
  <c r="W18" i="45"/>
  <c r="W34" i="45"/>
  <c r="T54" i="45"/>
  <c r="K90" i="44"/>
  <c r="J90" i="44"/>
  <c r="J94" i="44"/>
  <c r="K94" i="44"/>
  <c r="K67" i="44"/>
  <c r="J67" i="44"/>
  <c r="K102" i="44"/>
  <c r="J102" i="44"/>
  <c r="J77" i="44"/>
  <c r="K77" i="44"/>
  <c r="J66" i="44"/>
  <c r="K66" i="44"/>
  <c r="J65" i="44"/>
  <c r="K65" i="44"/>
  <c r="K95" i="44"/>
  <c r="J95" i="44"/>
  <c r="K75" i="44"/>
  <c r="J75" i="44"/>
  <c r="K103" i="44"/>
  <c r="J103" i="44"/>
  <c r="K69" i="44"/>
  <c r="J69" i="44"/>
  <c r="J97" i="44"/>
  <c r="K97" i="44"/>
  <c r="K64" i="44"/>
  <c r="J64" i="44"/>
  <c r="K92" i="44"/>
  <c r="J92" i="44"/>
  <c r="K104" i="44"/>
  <c r="J104" i="44"/>
  <c r="K78" i="44"/>
  <c r="J78" i="44"/>
  <c r="J74" i="44"/>
  <c r="K74" i="44"/>
  <c r="J86" i="44"/>
  <c r="K86" i="44"/>
  <c r="J106" i="44"/>
  <c r="K106" i="44"/>
  <c r="J73" i="44"/>
  <c r="K73" i="44"/>
  <c r="K101" i="44"/>
  <c r="J101" i="44"/>
  <c r="J81" i="44"/>
  <c r="K81" i="44"/>
  <c r="K111" i="44"/>
  <c r="J111" i="44"/>
  <c r="K76" i="44"/>
  <c r="J76" i="44"/>
  <c r="J105" i="44"/>
  <c r="K105" i="44"/>
  <c r="K71" i="44"/>
  <c r="J71" i="44"/>
  <c r="K100" i="44"/>
  <c r="J100" i="44"/>
  <c r="J109" i="44"/>
  <c r="K109" i="44"/>
  <c r="K83" i="44"/>
  <c r="J83" i="44"/>
  <c r="K70" i="44"/>
  <c r="J70" i="44"/>
  <c r="K98" i="44"/>
  <c r="J98" i="44"/>
  <c r="J93" i="44"/>
  <c r="K93" i="44"/>
  <c r="K80" i="44"/>
  <c r="J80" i="44"/>
  <c r="K108" i="44"/>
  <c r="J108" i="44"/>
  <c r="J89" i="44"/>
  <c r="K89" i="44"/>
  <c r="K84" i="44"/>
  <c r="J84" i="44"/>
  <c r="K112" i="44"/>
  <c r="J112" i="44"/>
  <c r="K79" i="44"/>
  <c r="J79" i="44"/>
  <c r="K107" i="44"/>
  <c r="J107" i="44"/>
  <c r="K110" i="44"/>
  <c r="J110" i="44"/>
  <c r="K88" i="44"/>
  <c r="J88" i="44"/>
  <c r="K99" i="44"/>
  <c r="J99" i="44"/>
  <c r="K82" i="44"/>
  <c r="J82" i="44"/>
  <c r="K72" i="44"/>
  <c r="J72" i="44"/>
  <c r="K87" i="44"/>
  <c r="J87" i="44"/>
  <c r="K68" i="44"/>
  <c r="J68" i="44"/>
  <c r="K96" i="44"/>
  <c r="J96" i="44"/>
  <c r="K63" i="44"/>
  <c r="J63" i="44"/>
  <c r="K91" i="44"/>
  <c r="J91" i="44"/>
  <c r="K85" i="44"/>
  <c r="J85" i="44"/>
  <c r="J113" i="44"/>
  <c r="K113" i="44"/>
  <c r="U47" i="119"/>
  <c r="U48" i="119"/>
  <c r="V39" i="119"/>
  <c r="X39" i="119" s="1"/>
  <c r="V35" i="119"/>
  <c r="X35" i="119" s="1"/>
  <c r="V31" i="119"/>
  <c r="X31" i="119" s="1"/>
  <c r="V27" i="119"/>
  <c r="X27" i="119" s="1"/>
  <c r="V23" i="119"/>
  <c r="X23" i="119" s="1"/>
  <c r="V19" i="119"/>
  <c r="X19" i="119" s="1"/>
  <c r="V38" i="119"/>
  <c r="X38" i="119" s="1"/>
  <c r="V34" i="119"/>
  <c r="X34" i="119" s="1"/>
  <c r="V30" i="119"/>
  <c r="X30" i="119" s="1"/>
  <c r="V26" i="119"/>
  <c r="X26" i="119" s="1"/>
  <c r="V22" i="119"/>
  <c r="X22" i="119" s="1"/>
  <c r="V18" i="119"/>
  <c r="X18" i="119" s="1"/>
  <c r="V37" i="119"/>
  <c r="X37" i="119" s="1"/>
  <c r="V33" i="119"/>
  <c r="X33" i="119" s="1"/>
  <c r="V29" i="119"/>
  <c r="X29" i="119" s="1"/>
  <c r="V25" i="119"/>
  <c r="X25" i="119" s="1"/>
  <c r="V21" i="119"/>
  <c r="X21" i="119" s="1"/>
  <c r="V17" i="119"/>
  <c r="X17" i="119" s="1"/>
  <c r="V40" i="119"/>
  <c r="X40" i="119" s="1"/>
  <c r="U97" i="119" s="1"/>
  <c r="V36" i="119"/>
  <c r="X36" i="119" s="1"/>
  <c r="V32" i="119"/>
  <c r="X32" i="119" s="1"/>
  <c r="V28" i="119"/>
  <c r="X28" i="119" s="1"/>
  <c r="V24" i="119"/>
  <c r="X24" i="119" s="1"/>
  <c r="V20" i="119"/>
  <c r="X20" i="119" s="1"/>
  <c r="V16" i="119"/>
  <c r="X16" i="119" s="1"/>
  <c r="V40" i="118"/>
  <c r="X40" i="118" s="1"/>
  <c r="U97" i="118" s="1"/>
  <c r="V36" i="118"/>
  <c r="X36" i="118" s="1"/>
  <c r="V32" i="118"/>
  <c r="X32" i="118" s="1"/>
  <c r="V28" i="118"/>
  <c r="X28" i="118" s="1"/>
  <c r="V24" i="118"/>
  <c r="X24" i="118" s="1"/>
  <c r="V20" i="118"/>
  <c r="X20" i="118" s="1"/>
  <c r="V16" i="118"/>
  <c r="X16" i="118" s="1"/>
  <c r="V39" i="118"/>
  <c r="X39" i="118" s="1"/>
  <c r="V35" i="118"/>
  <c r="X35" i="118" s="1"/>
  <c r="V31" i="118"/>
  <c r="X31" i="118" s="1"/>
  <c r="V27" i="118"/>
  <c r="X27" i="118" s="1"/>
  <c r="V23" i="118"/>
  <c r="X23" i="118" s="1"/>
  <c r="V19" i="118"/>
  <c r="X19" i="118" s="1"/>
  <c r="V38" i="118"/>
  <c r="X38" i="118" s="1"/>
  <c r="V34" i="118"/>
  <c r="X34" i="118" s="1"/>
  <c r="V30" i="118"/>
  <c r="X30" i="118" s="1"/>
  <c r="V26" i="118"/>
  <c r="X26" i="118" s="1"/>
  <c r="V22" i="118"/>
  <c r="X22" i="118" s="1"/>
  <c r="V18" i="118"/>
  <c r="X18" i="118" s="1"/>
  <c r="V37" i="118"/>
  <c r="X37" i="118" s="1"/>
  <c r="V33" i="118"/>
  <c r="X33" i="118" s="1"/>
  <c r="V29" i="118"/>
  <c r="X29" i="118" s="1"/>
  <c r="V25" i="118"/>
  <c r="X25" i="118" s="1"/>
  <c r="V21" i="118"/>
  <c r="X21" i="118" s="1"/>
  <c r="V17" i="118"/>
  <c r="X17" i="118" s="1"/>
  <c r="U47" i="118"/>
  <c r="U48" i="118"/>
  <c r="U48" i="117"/>
  <c r="U47" i="117"/>
  <c r="V38" i="117"/>
  <c r="X38" i="117" s="1"/>
  <c r="V34" i="117"/>
  <c r="X34" i="117" s="1"/>
  <c r="V30" i="117"/>
  <c r="X30" i="117" s="1"/>
  <c r="V26" i="117"/>
  <c r="X26" i="117" s="1"/>
  <c r="V22" i="117"/>
  <c r="X22" i="117" s="1"/>
  <c r="V18" i="117"/>
  <c r="X18" i="117" s="1"/>
  <c r="V37" i="117"/>
  <c r="X37" i="117" s="1"/>
  <c r="V33" i="117"/>
  <c r="X33" i="117" s="1"/>
  <c r="V29" i="117"/>
  <c r="X29" i="117" s="1"/>
  <c r="V25" i="117"/>
  <c r="X25" i="117" s="1"/>
  <c r="V21" i="117"/>
  <c r="X21" i="117" s="1"/>
  <c r="V17" i="117"/>
  <c r="X17" i="117" s="1"/>
  <c r="V40" i="117"/>
  <c r="X40" i="117" s="1"/>
  <c r="U97" i="117" s="1"/>
  <c r="V36" i="117"/>
  <c r="X36" i="117" s="1"/>
  <c r="V32" i="117"/>
  <c r="X32" i="117" s="1"/>
  <c r="V28" i="117"/>
  <c r="X28" i="117" s="1"/>
  <c r="V24" i="117"/>
  <c r="X24" i="117" s="1"/>
  <c r="V20" i="117"/>
  <c r="X20" i="117" s="1"/>
  <c r="V16" i="117"/>
  <c r="X16" i="117" s="1"/>
  <c r="V39" i="117"/>
  <c r="X39" i="117" s="1"/>
  <c r="V35" i="117"/>
  <c r="X35" i="117" s="1"/>
  <c r="V31" i="117"/>
  <c r="X31" i="117" s="1"/>
  <c r="V27" i="117"/>
  <c r="X27" i="117" s="1"/>
  <c r="V23" i="117"/>
  <c r="X23" i="117" s="1"/>
  <c r="V19" i="117"/>
  <c r="X19" i="117" s="1"/>
  <c r="U62" i="116"/>
  <c r="U61" i="116"/>
  <c r="U93" i="116"/>
  <c r="U94" i="116"/>
  <c r="U79" i="116"/>
  <c r="U80" i="116"/>
  <c r="U58" i="116"/>
  <c r="U57" i="116"/>
  <c r="U89" i="116"/>
  <c r="U90" i="116"/>
  <c r="U67" i="116"/>
  <c r="U68" i="116"/>
  <c r="U69" i="116"/>
  <c r="U70" i="116"/>
  <c r="U56" i="116"/>
  <c r="U55" i="116"/>
  <c r="U87" i="116"/>
  <c r="U88" i="116"/>
  <c r="U65" i="116"/>
  <c r="U66" i="116"/>
  <c r="U75" i="116"/>
  <c r="U76" i="116"/>
  <c r="U77" i="116"/>
  <c r="U78" i="116"/>
  <c r="U64" i="116"/>
  <c r="U63" i="116"/>
  <c r="U95" i="116"/>
  <c r="U96" i="116"/>
  <c r="U73" i="116"/>
  <c r="U74" i="116"/>
  <c r="U51" i="116"/>
  <c r="U52" i="116"/>
  <c r="U83" i="116"/>
  <c r="U84" i="116"/>
  <c r="U54" i="116"/>
  <c r="U53" i="116"/>
  <c r="U85" i="116"/>
  <c r="U86" i="116"/>
  <c r="U71" i="116"/>
  <c r="U72" i="116"/>
  <c r="U50" i="116"/>
  <c r="U49" i="116"/>
  <c r="U81" i="116"/>
  <c r="U82" i="116"/>
  <c r="U59" i="116"/>
  <c r="U60" i="116"/>
  <c r="U91" i="116"/>
  <c r="U92" i="116"/>
  <c r="U66" i="113"/>
  <c r="U65" i="113"/>
  <c r="U75" i="113"/>
  <c r="U76" i="113"/>
  <c r="U93" i="113"/>
  <c r="U94" i="113"/>
  <c r="U79" i="113"/>
  <c r="U80" i="113"/>
  <c r="U74" i="113"/>
  <c r="U73" i="113"/>
  <c r="U83" i="113"/>
  <c r="U84" i="113"/>
  <c r="U70" i="113"/>
  <c r="U69" i="113"/>
  <c r="U55" i="113"/>
  <c r="U56" i="113"/>
  <c r="U50" i="113"/>
  <c r="U49" i="113"/>
  <c r="U82" i="113"/>
  <c r="U81" i="113"/>
  <c r="U59" i="113"/>
  <c r="U60" i="113"/>
  <c r="U78" i="113"/>
  <c r="U77" i="113"/>
  <c r="U63" i="113"/>
  <c r="U64" i="113"/>
  <c r="U95" i="113"/>
  <c r="U96" i="113"/>
  <c r="U58" i="113"/>
  <c r="U57" i="113"/>
  <c r="U89" i="113"/>
  <c r="U90" i="113"/>
  <c r="U67" i="113"/>
  <c r="U68" i="113"/>
  <c r="U54" i="113"/>
  <c r="U53" i="113"/>
  <c r="U86" i="113"/>
  <c r="U85" i="113"/>
  <c r="U71" i="113"/>
  <c r="U72" i="113"/>
  <c r="U73" i="111"/>
  <c r="U74" i="111"/>
  <c r="U58" i="111"/>
  <c r="U57" i="111"/>
  <c r="U77" i="111"/>
  <c r="U78" i="111"/>
  <c r="U69" i="111"/>
  <c r="U70" i="111"/>
  <c r="U79" i="111"/>
  <c r="U80" i="111"/>
  <c r="U83" i="111"/>
  <c r="U84" i="111"/>
  <c r="U66" i="111"/>
  <c r="U65" i="111"/>
  <c r="U51" i="111"/>
  <c r="U52" i="111"/>
  <c r="U89" i="111"/>
  <c r="U90" i="111"/>
  <c r="U81" i="111"/>
  <c r="U82" i="111"/>
  <c r="U87" i="111"/>
  <c r="U88" i="111"/>
  <c r="U55" i="111"/>
  <c r="U56" i="111"/>
  <c r="U93" i="111"/>
  <c r="U94" i="111"/>
  <c r="U75" i="111"/>
  <c r="U76" i="111"/>
  <c r="U59" i="111"/>
  <c r="U60" i="111"/>
  <c r="U53" i="111"/>
  <c r="U54" i="111"/>
  <c r="U91" i="111"/>
  <c r="U92" i="111"/>
  <c r="U95" i="111"/>
  <c r="U96" i="111"/>
  <c r="U63" i="111"/>
  <c r="U64" i="111"/>
  <c r="U49" i="111"/>
  <c r="U50" i="111"/>
  <c r="U85" i="111"/>
  <c r="U86" i="111"/>
  <c r="U68" i="111"/>
  <c r="U67" i="111"/>
  <c r="U61" i="111"/>
  <c r="U62" i="111"/>
  <c r="U71" i="111"/>
  <c r="U72" i="111"/>
  <c r="U47" i="109"/>
  <c r="U48" i="109"/>
  <c r="V38" i="109"/>
  <c r="X38" i="109" s="1"/>
  <c r="V34" i="109"/>
  <c r="X34" i="109" s="1"/>
  <c r="V30" i="109"/>
  <c r="X30" i="109" s="1"/>
  <c r="V26" i="109"/>
  <c r="X26" i="109" s="1"/>
  <c r="V22" i="109"/>
  <c r="X22" i="109" s="1"/>
  <c r="V18" i="109"/>
  <c r="X18" i="109" s="1"/>
  <c r="V37" i="109"/>
  <c r="X37" i="109" s="1"/>
  <c r="V33" i="109"/>
  <c r="X33" i="109" s="1"/>
  <c r="V29" i="109"/>
  <c r="X29" i="109" s="1"/>
  <c r="V25" i="109"/>
  <c r="X25" i="109" s="1"/>
  <c r="V21" i="109"/>
  <c r="X21" i="109" s="1"/>
  <c r="V17" i="109"/>
  <c r="X17" i="109" s="1"/>
  <c r="V40" i="109"/>
  <c r="X40" i="109" s="1"/>
  <c r="U97" i="109" s="1"/>
  <c r="V36" i="109"/>
  <c r="X36" i="109" s="1"/>
  <c r="V32" i="109"/>
  <c r="X32" i="109" s="1"/>
  <c r="V28" i="109"/>
  <c r="X28" i="109" s="1"/>
  <c r="V24" i="109"/>
  <c r="X24" i="109" s="1"/>
  <c r="V20" i="109"/>
  <c r="X20" i="109" s="1"/>
  <c r="V16" i="109"/>
  <c r="X16" i="109" s="1"/>
  <c r="V39" i="109"/>
  <c r="X39" i="109" s="1"/>
  <c r="V35" i="109"/>
  <c r="X35" i="109" s="1"/>
  <c r="V31" i="109"/>
  <c r="X31" i="109" s="1"/>
  <c r="V27" i="109"/>
  <c r="X27" i="109" s="1"/>
  <c r="V23" i="109"/>
  <c r="X23" i="109" s="1"/>
  <c r="V19" i="109"/>
  <c r="X19" i="109" s="1"/>
  <c r="U79" i="108"/>
  <c r="U80" i="108"/>
  <c r="U57" i="108"/>
  <c r="U58" i="108"/>
  <c r="U90" i="108"/>
  <c r="U89" i="108"/>
  <c r="U67" i="108"/>
  <c r="U68" i="108"/>
  <c r="U53" i="108"/>
  <c r="U54" i="108"/>
  <c r="U86" i="108"/>
  <c r="U85" i="108"/>
  <c r="U56" i="108"/>
  <c r="U55" i="108"/>
  <c r="U87" i="108"/>
  <c r="U88" i="108"/>
  <c r="U66" i="108"/>
  <c r="U65" i="108"/>
  <c r="U75" i="108"/>
  <c r="U76" i="108"/>
  <c r="U61" i="108"/>
  <c r="U62" i="108"/>
  <c r="U94" i="108"/>
  <c r="U93" i="108"/>
  <c r="U63" i="108"/>
  <c r="U64" i="108"/>
  <c r="U95" i="108"/>
  <c r="U96" i="108"/>
  <c r="U74" i="108"/>
  <c r="U73" i="108"/>
  <c r="U51" i="108"/>
  <c r="U52" i="108"/>
  <c r="U83" i="108"/>
  <c r="U84" i="108"/>
  <c r="U70" i="108"/>
  <c r="U69" i="108"/>
  <c r="U71" i="108"/>
  <c r="U72" i="108"/>
  <c r="U49" i="108"/>
  <c r="U50" i="108"/>
  <c r="U82" i="108"/>
  <c r="U81" i="108"/>
  <c r="U60" i="108"/>
  <c r="U59" i="108"/>
  <c r="U91" i="108"/>
  <c r="U92" i="108"/>
  <c r="U78" i="108"/>
  <c r="U77" i="108"/>
  <c r="U73" i="106"/>
  <c r="U74" i="106"/>
  <c r="U52" i="106"/>
  <c r="U51" i="106"/>
  <c r="U83" i="106"/>
  <c r="U84" i="106"/>
  <c r="U69" i="106"/>
  <c r="U70" i="106"/>
  <c r="U56" i="106"/>
  <c r="U55" i="106"/>
  <c r="U87" i="106"/>
  <c r="U88" i="106"/>
  <c r="U50" i="106"/>
  <c r="U49" i="106"/>
  <c r="U81" i="106"/>
  <c r="U82" i="106"/>
  <c r="U60" i="106"/>
  <c r="U59" i="106"/>
  <c r="U91" i="106"/>
  <c r="U92" i="106"/>
  <c r="U77" i="106"/>
  <c r="U78" i="106"/>
  <c r="U63" i="106"/>
  <c r="U64" i="106"/>
  <c r="U95" i="106"/>
  <c r="U96" i="106"/>
  <c r="U58" i="106"/>
  <c r="U57" i="106"/>
  <c r="U89" i="106"/>
  <c r="U90" i="106"/>
  <c r="U67" i="106"/>
  <c r="U68" i="106"/>
  <c r="U54" i="106"/>
  <c r="U53" i="106"/>
  <c r="U85" i="106"/>
  <c r="U86" i="106"/>
  <c r="U71" i="106"/>
  <c r="U72" i="106"/>
  <c r="U66" i="106"/>
  <c r="U65" i="106"/>
  <c r="U75" i="106"/>
  <c r="U76" i="106"/>
  <c r="U61" i="106"/>
  <c r="U62" i="106"/>
  <c r="U93" i="106"/>
  <c r="U94" i="106"/>
  <c r="U79" i="106"/>
  <c r="U80" i="106"/>
  <c r="U53" i="105"/>
  <c r="U54" i="105"/>
  <c r="U86" i="105"/>
  <c r="U85" i="105"/>
  <c r="U71" i="105"/>
  <c r="U72" i="105"/>
  <c r="U50" i="105"/>
  <c r="U49" i="105"/>
  <c r="U82" i="105"/>
  <c r="U81" i="105"/>
  <c r="U59" i="105"/>
  <c r="U60" i="105"/>
  <c r="U91" i="105"/>
  <c r="U92" i="105"/>
  <c r="U61" i="105"/>
  <c r="U62" i="105"/>
  <c r="U93" i="105"/>
  <c r="U94" i="105"/>
  <c r="U79" i="105"/>
  <c r="U80" i="105"/>
  <c r="U57" i="105"/>
  <c r="U58" i="105"/>
  <c r="U90" i="105"/>
  <c r="U89" i="105"/>
  <c r="U67" i="105"/>
  <c r="U68" i="105"/>
  <c r="U70" i="105"/>
  <c r="U69" i="105"/>
  <c r="U55" i="105"/>
  <c r="U56" i="105"/>
  <c r="U87" i="105"/>
  <c r="U88" i="105"/>
  <c r="U65" i="105"/>
  <c r="U66" i="105"/>
  <c r="U75" i="105"/>
  <c r="U76" i="105"/>
  <c r="U78" i="105"/>
  <c r="U77" i="105"/>
  <c r="U64" i="105"/>
  <c r="U63" i="105"/>
  <c r="U95" i="105"/>
  <c r="U96" i="105"/>
  <c r="U74" i="105"/>
  <c r="U73" i="105"/>
  <c r="U51" i="105"/>
  <c r="U52" i="105"/>
  <c r="U83" i="105"/>
  <c r="U84" i="105"/>
  <c r="U61" i="102"/>
  <c r="U62" i="102"/>
  <c r="U93" i="102"/>
  <c r="U94" i="102"/>
  <c r="U79" i="102"/>
  <c r="U80" i="102"/>
  <c r="U58" i="102"/>
  <c r="U57" i="102"/>
  <c r="U89" i="102"/>
  <c r="U90" i="102"/>
  <c r="U76" i="102"/>
  <c r="U75" i="102"/>
  <c r="U69" i="102"/>
  <c r="U70" i="102"/>
  <c r="U55" i="102"/>
  <c r="U56" i="102"/>
  <c r="U87" i="102"/>
  <c r="U88" i="102"/>
  <c r="U66" i="102"/>
  <c r="U65" i="102"/>
  <c r="U51" i="102"/>
  <c r="U52" i="102"/>
  <c r="U83" i="102"/>
  <c r="U84" i="102"/>
  <c r="U77" i="102"/>
  <c r="U78" i="102"/>
  <c r="U63" i="102"/>
  <c r="U64" i="102"/>
  <c r="U73" i="102"/>
  <c r="U74" i="102"/>
  <c r="U59" i="102"/>
  <c r="U60" i="102"/>
  <c r="U91" i="102"/>
  <c r="U92" i="102"/>
  <c r="U53" i="102"/>
  <c r="U54" i="102"/>
  <c r="U85" i="102"/>
  <c r="U86" i="102"/>
  <c r="U72" i="102"/>
  <c r="U71" i="102"/>
  <c r="U49" i="102"/>
  <c r="U50" i="102"/>
  <c r="U81" i="102"/>
  <c r="U82" i="102"/>
  <c r="U67" i="102"/>
  <c r="U68" i="102"/>
  <c r="U95" i="102"/>
  <c r="U96" i="102"/>
  <c r="V37" i="101"/>
  <c r="X37" i="101" s="1"/>
  <c r="V33" i="101"/>
  <c r="X33" i="101" s="1"/>
  <c r="V29" i="101"/>
  <c r="X29" i="101" s="1"/>
  <c r="V25" i="101"/>
  <c r="X25" i="101" s="1"/>
  <c r="V21" i="101"/>
  <c r="X21" i="101" s="1"/>
  <c r="V17" i="101"/>
  <c r="X17" i="101" s="1"/>
  <c r="V38" i="101"/>
  <c r="X38" i="101" s="1"/>
  <c r="V26" i="101"/>
  <c r="X26" i="101" s="1"/>
  <c r="V40" i="101"/>
  <c r="X40" i="101" s="1"/>
  <c r="U97" i="101" s="1"/>
  <c r="V36" i="101"/>
  <c r="X36" i="101" s="1"/>
  <c r="V32" i="101"/>
  <c r="X32" i="101" s="1"/>
  <c r="V28" i="101"/>
  <c r="X28" i="101" s="1"/>
  <c r="V24" i="101"/>
  <c r="X24" i="101" s="1"/>
  <c r="V20" i="101"/>
  <c r="X20" i="101" s="1"/>
  <c r="V16" i="101"/>
  <c r="X16" i="101" s="1"/>
  <c r="V34" i="101"/>
  <c r="X34" i="101" s="1"/>
  <c r="V18" i="101"/>
  <c r="X18" i="101" s="1"/>
  <c r="V39" i="101"/>
  <c r="X39" i="101" s="1"/>
  <c r="V35" i="101"/>
  <c r="X35" i="101" s="1"/>
  <c r="V31" i="101"/>
  <c r="X31" i="101" s="1"/>
  <c r="V27" i="101"/>
  <c r="X27" i="101" s="1"/>
  <c r="V23" i="101"/>
  <c r="X23" i="101" s="1"/>
  <c r="V19" i="101"/>
  <c r="X19" i="101" s="1"/>
  <c r="V30" i="101"/>
  <c r="X30" i="101" s="1"/>
  <c r="V22" i="101"/>
  <c r="X22" i="101" s="1"/>
  <c r="U48" i="101"/>
  <c r="U47" i="101"/>
  <c r="U75" i="100"/>
  <c r="U76" i="100"/>
  <c r="U61" i="100"/>
  <c r="U62" i="100"/>
  <c r="U93" i="100"/>
  <c r="U94" i="100"/>
  <c r="U79" i="100"/>
  <c r="U80" i="100"/>
  <c r="U57" i="100"/>
  <c r="U58" i="100"/>
  <c r="U89" i="100"/>
  <c r="U90" i="100"/>
  <c r="U52" i="100"/>
  <c r="U51" i="100"/>
  <c r="U83" i="100"/>
  <c r="U84" i="100"/>
  <c r="U70" i="100"/>
  <c r="U69" i="100"/>
  <c r="U56" i="100"/>
  <c r="U55" i="100"/>
  <c r="U87" i="100"/>
  <c r="U88" i="100"/>
  <c r="U66" i="100"/>
  <c r="U65" i="100"/>
  <c r="U60" i="100"/>
  <c r="U59" i="100"/>
  <c r="U91" i="100"/>
  <c r="U92" i="100"/>
  <c r="U77" i="100"/>
  <c r="U78" i="100"/>
  <c r="U63" i="100"/>
  <c r="U64" i="100"/>
  <c r="U95" i="100"/>
  <c r="U96" i="100"/>
  <c r="U73" i="100"/>
  <c r="U74" i="100"/>
  <c r="U67" i="100"/>
  <c r="U68" i="100"/>
  <c r="U53" i="100"/>
  <c r="U54" i="100"/>
  <c r="U85" i="100"/>
  <c r="U86" i="100"/>
  <c r="U71" i="100"/>
  <c r="U72" i="100"/>
  <c r="U49" i="100"/>
  <c r="U50" i="100"/>
  <c r="U81" i="100"/>
  <c r="U82" i="100"/>
  <c r="U47" i="98"/>
  <c r="U48" i="98"/>
  <c r="V37" i="98"/>
  <c r="X37" i="98" s="1"/>
  <c r="V33" i="98"/>
  <c r="X33" i="98" s="1"/>
  <c r="V29" i="98"/>
  <c r="X29" i="98" s="1"/>
  <c r="V25" i="98"/>
  <c r="X25" i="98" s="1"/>
  <c r="V21" i="98"/>
  <c r="X21" i="98" s="1"/>
  <c r="V17" i="98"/>
  <c r="X17" i="98" s="1"/>
  <c r="V36" i="98"/>
  <c r="X36" i="98" s="1"/>
  <c r="V31" i="98"/>
  <c r="X31" i="98" s="1"/>
  <c r="V26" i="98"/>
  <c r="X26" i="98" s="1"/>
  <c r="V20" i="98"/>
  <c r="X20" i="98" s="1"/>
  <c r="V40" i="98"/>
  <c r="X40" i="98" s="1"/>
  <c r="U97" i="98" s="1"/>
  <c r="V35" i="98"/>
  <c r="X35" i="98" s="1"/>
  <c r="V30" i="98"/>
  <c r="X30" i="98" s="1"/>
  <c r="V24" i="98"/>
  <c r="X24" i="98" s="1"/>
  <c r="V19" i="98"/>
  <c r="X19" i="98" s="1"/>
  <c r="V39" i="98"/>
  <c r="X39" i="98" s="1"/>
  <c r="V34" i="98"/>
  <c r="X34" i="98" s="1"/>
  <c r="V28" i="98"/>
  <c r="X28" i="98" s="1"/>
  <c r="V23" i="98"/>
  <c r="X23" i="98" s="1"/>
  <c r="V18" i="98"/>
  <c r="X18" i="98" s="1"/>
  <c r="V38" i="98"/>
  <c r="X38" i="98" s="1"/>
  <c r="V32" i="98"/>
  <c r="X32" i="98" s="1"/>
  <c r="V27" i="98"/>
  <c r="X27" i="98" s="1"/>
  <c r="V22" i="98"/>
  <c r="X22" i="98" s="1"/>
  <c r="V16" i="98"/>
  <c r="X16" i="98" s="1"/>
  <c r="U47" i="97"/>
  <c r="U48" i="97"/>
  <c r="V38" i="97"/>
  <c r="X38" i="97" s="1"/>
  <c r="V34" i="97"/>
  <c r="X34" i="97" s="1"/>
  <c r="V30" i="97"/>
  <c r="X30" i="97" s="1"/>
  <c r="V26" i="97"/>
  <c r="X26" i="97" s="1"/>
  <c r="V22" i="97"/>
  <c r="X22" i="97" s="1"/>
  <c r="V18" i="97"/>
  <c r="X18" i="97" s="1"/>
  <c r="V40" i="97"/>
  <c r="X40" i="97" s="1"/>
  <c r="U97" i="97" s="1"/>
  <c r="V35" i="97"/>
  <c r="X35" i="97" s="1"/>
  <c r="V29" i="97"/>
  <c r="X29" i="97" s="1"/>
  <c r="V24" i="97"/>
  <c r="X24" i="97" s="1"/>
  <c r="V19" i="97"/>
  <c r="X19" i="97" s="1"/>
  <c r="V39" i="97"/>
  <c r="X39" i="97" s="1"/>
  <c r="V33" i="97"/>
  <c r="X33" i="97" s="1"/>
  <c r="V28" i="97"/>
  <c r="X28" i="97" s="1"/>
  <c r="V23" i="97"/>
  <c r="X23" i="97" s="1"/>
  <c r="V17" i="97"/>
  <c r="X17" i="97" s="1"/>
  <c r="V37" i="97"/>
  <c r="X37" i="97" s="1"/>
  <c r="V32" i="97"/>
  <c r="X32" i="97" s="1"/>
  <c r="V27" i="97"/>
  <c r="X27" i="97" s="1"/>
  <c r="V21" i="97"/>
  <c r="X21" i="97" s="1"/>
  <c r="V16" i="97"/>
  <c r="X16" i="97" s="1"/>
  <c r="V36" i="97"/>
  <c r="X36" i="97" s="1"/>
  <c r="V31" i="97"/>
  <c r="X31" i="97" s="1"/>
  <c r="V25" i="97"/>
  <c r="X25" i="97" s="1"/>
  <c r="V20" i="97"/>
  <c r="X20" i="97" s="1"/>
  <c r="U55" i="96"/>
  <c r="U56" i="96"/>
  <c r="U87" i="96"/>
  <c r="U88" i="96"/>
  <c r="U66" i="96"/>
  <c r="U65" i="96"/>
  <c r="U76" i="96"/>
  <c r="U75" i="96"/>
  <c r="U62" i="96"/>
  <c r="U61" i="96"/>
  <c r="U93" i="96"/>
  <c r="U94" i="96"/>
  <c r="U64" i="96"/>
  <c r="U63" i="96"/>
  <c r="U95" i="96"/>
  <c r="U96" i="96"/>
  <c r="U73" i="96"/>
  <c r="U74" i="96"/>
  <c r="U51" i="96"/>
  <c r="U52" i="96"/>
  <c r="U83" i="96"/>
  <c r="U84" i="96"/>
  <c r="U69" i="96"/>
  <c r="U70" i="96"/>
  <c r="U72" i="96"/>
  <c r="U71" i="96"/>
  <c r="U50" i="96"/>
  <c r="U49" i="96"/>
  <c r="U81" i="96"/>
  <c r="U82" i="96"/>
  <c r="U60" i="96"/>
  <c r="U59" i="96"/>
  <c r="U91" i="96"/>
  <c r="U92" i="96"/>
  <c r="U77" i="96"/>
  <c r="U78" i="96"/>
  <c r="U79" i="96"/>
  <c r="U80" i="96"/>
  <c r="U58" i="96"/>
  <c r="U57" i="96"/>
  <c r="U89" i="96"/>
  <c r="U90" i="96"/>
  <c r="U68" i="96"/>
  <c r="U67" i="96"/>
  <c r="U54" i="96"/>
  <c r="U53" i="96"/>
  <c r="U85" i="96"/>
  <c r="U86" i="96"/>
  <c r="V37" i="95"/>
  <c r="X37" i="95" s="1"/>
  <c r="V33" i="95"/>
  <c r="X33" i="95" s="1"/>
  <c r="V29" i="95"/>
  <c r="X29" i="95" s="1"/>
  <c r="V25" i="95"/>
  <c r="X25" i="95" s="1"/>
  <c r="V21" i="95"/>
  <c r="X21" i="95" s="1"/>
  <c r="V17" i="95"/>
  <c r="X17" i="95" s="1"/>
  <c r="V40" i="95"/>
  <c r="X40" i="95" s="1"/>
  <c r="U97" i="95" s="1"/>
  <c r="V36" i="95"/>
  <c r="X36" i="95" s="1"/>
  <c r="V32" i="95"/>
  <c r="X32" i="95" s="1"/>
  <c r="V28" i="95"/>
  <c r="X28" i="95" s="1"/>
  <c r="V24" i="95"/>
  <c r="X24" i="95" s="1"/>
  <c r="V20" i="95"/>
  <c r="X20" i="95" s="1"/>
  <c r="V16" i="95"/>
  <c r="X16" i="95" s="1"/>
  <c r="V39" i="95"/>
  <c r="X39" i="95" s="1"/>
  <c r="V35" i="95"/>
  <c r="X35" i="95" s="1"/>
  <c r="V31" i="95"/>
  <c r="X31" i="95" s="1"/>
  <c r="V27" i="95"/>
  <c r="X27" i="95" s="1"/>
  <c r="V23" i="95"/>
  <c r="X23" i="95" s="1"/>
  <c r="V19" i="95"/>
  <c r="X19" i="95" s="1"/>
  <c r="V38" i="95"/>
  <c r="X38" i="95" s="1"/>
  <c r="V34" i="95"/>
  <c r="X34" i="95" s="1"/>
  <c r="V30" i="95"/>
  <c r="X30" i="95" s="1"/>
  <c r="V26" i="95"/>
  <c r="X26" i="95" s="1"/>
  <c r="V22" i="95"/>
  <c r="X22" i="95" s="1"/>
  <c r="V18" i="95"/>
  <c r="X18" i="95" s="1"/>
  <c r="U47" i="95"/>
  <c r="U48" i="95"/>
  <c r="V40" i="93"/>
  <c r="X40" i="93" s="1"/>
  <c r="U97" i="93" s="1"/>
  <c r="V36" i="93"/>
  <c r="X36" i="93" s="1"/>
  <c r="V32" i="93"/>
  <c r="X32" i="93" s="1"/>
  <c r="V28" i="93"/>
  <c r="X28" i="93" s="1"/>
  <c r="V24" i="93"/>
  <c r="X24" i="93" s="1"/>
  <c r="V20" i="93"/>
  <c r="X20" i="93" s="1"/>
  <c r="V16" i="93"/>
  <c r="X16" i="93" s="1"/>
  <c r="V39" i="93"/>
  <c r="X39" i="93" s="1"/>
  <c r="V35" i="93"/>
  <c r="X35" i="93" s="1"/>
  <c r="V31" i="93"/>
  <c r="X31" i="93" s="1"/>
  <c r="V27" i="93"/>
  <c r="X27" i="93" s="1"/>
  <c r="V23" i="93"/>
  <c r="X23" i="93" s="1"/>
  <c r="V19" i="93"/>
  <c r="X19" i="93" s="1"/>
  <c r="V38" i="93"/>
  <c r="X38" i="93" s="1"/>
  <c r="V34" i="93"/>
  <c r="X34" i="93" s="1"/>
  <c r="V30" i="93"/>
  <c r="X30" i="93" s="1"/>
  <c r="V26" i="93"/>
  <c r="X26" i="93" s="1"/>
  <c r="V22" i="93"/>
  <c r="X22" i="93" s="1"/>
  <c r="V18" i="93"/>
  <c r="X18" i="93" s="1"/>
  <c r="V37" i="93"/>
  <c r="X37" i="93" s="1"/>
  <c r="V33" i="93"/>
  <c r="X33" i="93" s="1"/>
  <c r="V29" i="93"/>
  <c r="X29" i="93" s="1"/>
  <c r="V25" i="93"/>
  <c r="X25" i="93" s="1"/>
  <c r="V21" i="93"/>
  <c r="X21" i="93" s="1"/>
  <c r="V17" i="93"/>
  <c r="X17" i="93" s="1"/>
  <c r="U48" i="93"/>
  <c r="U47" i="93"/>
  <c r="U50" i="92"/>
  <c r="U49" i="92"/>
  <c r="U81" i="92"/>
  <c r="U82" i="92"/>
  <c r="U60" i="92"/>
  <c r="U59" i="92"/>
  <c r="U91" i="92"/>
  <c r="U92" i="92"/>
  <c r="U77" i="92"/>
  <c r="U78" i="92"/>
  <c r="U63" i="92"/>
  <c r="U64" i="92"/>
  <c r="U95" i="92"/>
  <c r="U96" i="92"/>
  <c r="U58" i="92"/>
  <c r="U57" i="92"/>
  <c r="U89" i="92"/>
  <c r="U90" i="92"/>
  <c r="U67" i="92"/>
  <c r="U68" i="92"/>
  <c r="U54" i="92"/>
  <c r="U53" i="92"/>
  <c r="U85" i="92"/>
  <c r="U86" i="92"/>
  <c r="U72" i="92"/>
  <c r="U71" i="92"/>
  <c r="U66" i="92"/>
  <c r="U65" i="92"/>
  <c r="U76" i="92"/>
  <c r="U75" i="92"/>
  <c r="U62" i="92"/>
  <c r="U61" i="92"/>
  <c r="U93" i="92"/>
  <c r="U94" i="92"/>
  <c r="U80" i="92"/>
  <c r="U79" i="92"/>
  <c r="U73" i="92"/>
  <c r="U74" i="92"/>
  <c r="U51" i="92"/>
  <c r="U52" i="92"/>
  <c r="U83" i="92"/>
  <c r="U84" i="92"/>
  <c r="U69" i="92"/>
  <c r="U70" i="92"/>
  <c r="U55" i="92"/>
  <c r="U56" i="92"/>
  <c r="U87" i="92"/>
  <c r="U88" i="92"/>
  <c r="U48" i="91"/>
  <c r="U47" i="91"/>
  <c r="V40" i="91"/>
  <c r="X40" i="91" s="1"/>
  <c r="U97" i="91" s="1"/>
  <c r="V36" i="91"/>
  <c r="X36" i="91" s="1"/>
  <c r="V32" i="91"/>
  <c r="X32" i="91" s="1"/>
  <c r="V28" i="91"/>
  <c r="X28" i="91" s="1"/>
  <c r="V24" i="91"/>
  <c r="X24" i="91" s="1"/>
  <c r="V20" i="91"/>
  <c r="X20" i="91" s="1"/>
  <c r="V16" i="91"/>
  <c r="X16" i="91" s="1"/>
  <c r="V39" i="91"/>
  <c r="X39" i="91" s="1"/>
  <c r="V35" i="91"/>
  <c r="X35" i="91" s="1"/>
  <c r="V31" i="91"/>
  <c r="X31" i="91" s="1"/>
  <c r="V27" i="91"/>
  <c r="X27" i="91" s="1"/>
  <c r="V23" i="91"/>
  <c r="X23" i="91" s="1"/>
  <c r="V19" i="91"/>
  <c r="X19" i="91" s="1"/>
  <c r="V38" i="91"/>
  <c r="X38" i="91" s="1"/>
  <c r="V34" i="91"/>
  <c r="X34" i="91" s="1"/>
  <c r="V30" i="91"/>
  <c r="X30" i="91" s="1"/>
  <c r="V26" i="91"/>
  <c r="X26" i="91" s="1"/>
  <c r="V22" i="91"/>
  <c r="X22" i="91" s="1"/>
  <c r="V18" i="91"/>
  <c r="X18" i="91" s="1"/>
  <c r="V37" i="91"/>
  <c r="X37" i="91" s="1"/>
  <c r="V33" i="91"/>
  <c r="X33" i="91" s="1"/>
  <c r="V29" i="91"/>
  <c r="X29" i="91" s="1"/>
  <c r="V25" i="91"/>
  <c r="X25" i="91" s="1"/>
  <c r="V21" i="91"/>
  <c r="X21" i="91" s="1"/>
  <c r="V17" i="91"/>
  <c r="X17" i="91" s="1"/>
  <c r="V24" i="90"/>
  <c r="X24" i="90" s="1"/>
  <c r="U65" i="90" s="1"/>
  <c r="V40" i="90"/>
  <c r="X40" i="90" s="1"/>
  <c r="U97" i="90" s="1"/>
  <c r="V29" i="90"/>
  <c r="X29" i="90" s="1"/>
  <c r="U76" i="90" s="1"/>
  <c r="V22" i="90"/>
  <c r="X22" i="90" s="1"/>
  <c r="U61" i="90" s="1"/>
  <c r="V38" i="90"/>
  <c r="X38" i="90" s="1"/>
  <c r="U94" i="90" s="1"/>
  <c r="U74" i="90"/>
  <c r="U73" i="90"/>
  <c r="U51" i="90"/>
  <c r="U52" i="90"/>
  <c r="U83" i="90"/>
  <c r="U84" i="90"/>
  <c r="U70" i="90"/>
  <c r="U69" i="90"/>
  <c r="U55" i="90"/>
  <c r="U56" i="90"/>
  <c r="U87" i="90"/>
  <c r="U88" i="90"/>
  <c r="U49" i="90"/>
  <c r="U50" i="90"/>
  <c r="U82" i="90"/>
  <c r="U81" i="90"/>
  <c r="U59" i="90"/>
  <c r="U60" i="90"/>
  <c r="U91" i="90"/>
  <c r="U92" i="90"/>
  <c r="U78" i="90"/>
  <c r="U77" i="90"/>
  <c r="U63" i="90"/>
  <c r="U64" i="90"/>
  <c r="U95" i="90"/>
  <c r="U96" i="90"/>
  <c r="U57" i="90"/>
  <c r="U58" i="90"/>
  <c r="U90" i="90"/>
  <c r="U89" i="90"/>
  <c r="U67" i="90"/>
  <c r="U68" i="90"/>
  <c r="U53" i="90"/>
  <c r="U54" i="90"/>
  <c r="U86" i="90"/>
  <c r="U85" i="90"/>
  <c r="U71" i="90"/>
  <c r="U72" i="90"/>
  <c r="U66" i="90"/>
  <c r="U79" i="90"/>
  <c r="U80" i="90"/>
  <c r="U47" i="89"/>
  <c r="U48" i="89"/>
  <c r="V37" i="89"/>
  <c r="X37" i="89" s="1"/>
  <c r="V33" i="89"/>
  <c r="X33" i="89" s="1"/>
  <c r="V29" i="89"/>
  <c r="X29" i="89" s="1"/>
  <c r="V25" i="89"/>
  <c r="X25" i="89" s="1"/>
  <c r="V21" i="89"/>
  <c r="X21" i="89" s="1"/>
  <c r="V17" i="89"/>
  <c r="X17" i="89" s="1"/>
  <c r="V40" i="89"/>
  <c r="X40" i="89" s="1"/>
  <c r="U97" i="89" s="1"/>
  <c r="V36" i="89"/>
  <c r="X36" i="89" s="1"/>
  <c r="V32" i="89"/>
  <c r="X32" i="89" s="1"/>
  <c r="V28" i="89"/>
  <c r="X28" i="89" s="1"/>
  <c r="V24" i="89"/>
  <c r="X24" i="89" s="1"/>
  <c r="V20" i="89"/>
  <c r="X20" i="89" s="1"/>
  <c r="V16" i="89"/>
  <c r="X16" i="89" s="1"/>
  <c r="V39" i="89"/>
  <c r="X39" i="89" s="1"/>
  <c r="V35" i="89"/>
  <c r="X35" i="89" s="1"/>
  <c r="V31" i="89"/>
  <c r="X31" i="89" s="1"/>
  <c r="V27" i="89"/>
  <c r="X27" i="89" s="1"/>
  <c r="V23" i="89"/>
  <c r="X23" i="89" s="1"/>
  <c r="V19" i="89"/>
  <c r="X19" i="89" s="1"/>
  <c r="V38" i="89"/>
  <c r="X38" i="89" s="1"/>
  <c r="V34" i="89"/>
  <c r="X34" i="89" s="1"/>
  <c r="V30" i="89"/>
  <c r="X30" i="89" s="1"/>
  <c r="V26" i="89"/>
  <c r="X26" i="89" s="1"/>
  <c r="V22" i="89"/>
  <c r="X22" i="89" s="1"/>
  <c r="V18" i="89"/>
  <c r="X18" i="89" s="1"/>
  <c r="V38" i="88"/>
  <c r="X38" i="88" s="1"/>
  <c r="V34" i="88"/>
  <c r="X34" i="88" s="1"/>
  <c r="V30" i="88"/>
  <c r="X30" i="88" s="1"/>
  <c r="V26" i="88"/>
  <c r="X26" i="88" s="1"/>
  <c r="V22" i="88"/>
  <c r="X22" i="88" s="1"/>
  <c r="V18" i="88"/>
  <c r="X18" i="88" s="1"/>
  <c r="V37" i="88"/>
  <c r="X37" i="88" s="1"/>
  <c r="V33" i="88"/>
  <c r="X33" i="88" s="1"/>
  <c r="V29" i="88"/>
  <c r="X29" i="88" s="1"/>
  <c r="V25" i="88"/>
  <c r="X25" i="88" s="1"/>
  <c r="V21" i="88"/>
  <c r="X21" i="88" s="1"/>
  <c r="V17" i="88"/>
  <c r="X17" i="88" s="1"/>
  <c r="V40" i="88"/>
  <c r="X40" i="88" s="1"/>
  <c r="U97" i="88" s="1"/>
  <c r="V36" i="88"/>
  <c r="X36" i="88" s="1"/>
  <c r="V32" i="88"/>
  <c r="X32" i="88" s="1"/>
  <c r="V28" i="88"/>
  <c r="X28" i="88" s="1"/>
  <c r="V24" i="88"/>
  <c r="X24" i="88" s="1"/>
  <c r="V20" i="88"/>
  <c r="X20" i="88" s="1"/>
  <c r="V16" i="88"/>
  <c r="X16" i="88" s="1"/>
  <c r="V39" i="88"/>
  <c r="X39" i="88" s="1"/>
  <c r="V35" i="88"/>
  <c r="X35" i="88" s="1"/>
  <c r="V31" i="88"/>
  <c r="X31" i="88" s="1"/>
  <c r="V27" i="88"/>
  <c r="X27" i="88" s="1"/>
  <c r="V23" i="88"/>
  <c r="X23" i="88" s="1"/>
  <c r="V19" i="88"/>
  <c r="X19" i="88" s="1"/>
  <c r="U47" i="88"/>
  <c r="U48" i="88"/>
  <c r="V39" i="87"/>
  <c r="X39" i="87" s="1"/>
  <c r="V35" i="87"/>
  <c r="X35" i="87" s="1"/>
  <c r="V31" i="87"/>
  <c r="X31" i="87" s="1"/>
  <c r="V27" i="87"/>
  <c r="X27" i="87" s="1"/>
  <c r="V23" i="87"/>
  <c r="X23" i="87" s="1"/>
  <c r="V19" i="87"/>
  <c r="X19" i="87" s="1"/>
  <c r="V38" i="87"/>
  <c r="X38" i="87" s="1"/>
  <c r="V34" i="87"/>
  <c r="X34" i="87" s="1"/>
  <c r="V30" i="87"/>
  <c r="X30" i="87" s="1"/>
  <c r="V26" i="87"/>
  <c r="X26" i="87" s="1"/>
  <c r="V22" i="87"/>
  <c r="X22" i="87" s="1"/>
  <c r="V18" i="87"/>
  <c r="X18" i="87" s="1"/>
  <c r="V37" i="87"/>
  <c r="X37" i="87" s="1"/>
  <c r="V33" i="87"/>
  <c r="X33" i="87" s="1"/>
  <c r="V29" i="87"/>
  <c r="X29" i="87" s="1"/>
  <c r="V25" i="87"/>
  <c r="X25" i="87" s="1"/>
  <c r="V21" i="87"/>
  <c r="X21" i="87" s="1"/>
  <c r="V17" i="87"/>
  <c r="X17" i="87" s="1"/>
  <c r="V40" i="87"/>
  <c r="X40" i="87" s="1"/>
  <c r="U97" i="87" s="1"/>
  <c r="V36" i="87"/>
  <c r="X36" i="87" s="1"/>
  <c r="V32" i="87"/>
  <c r="X32" i="87" s="1"/>
  <c r="V28" i="87"/>
  <c r="X28" i="87" s="1"/>
  <c r="V24" i="87"/>
  <c r="X24" i="87" s="1"/>
  <c r="V20" i="87"/>
  <c r="X20" i="87" s="1"/>
  <c r="V16" i="87"/>
  <c r="X16" i="87" s="1"/>
  <c r="U48" i="87"/>
  <c r="U47" i="87"/>
  <c r="V39" i="86"/>
  <c r="X39" i="86" s="1"/>
  <c r="V35" i="86"/>
  <c r="X35" i="86" s="1"/>
  <c r="V31" i="86"/>
  <c r="X31" i="86" s="1"/>
  <c r="V27" i="86"/>
  <c r="X27" i="86" s="1"/>
  <c r="V23" i="86"/>
  <c r="X23" i="86" s="1"/>
  <c r="V19" i="86"/>
  <c r="X19" i="86" s="1"/>
  <c r="V38" i="86"/>
  <c r="X38" i="86" s="1"/>
  <c r="V34" i="86"/>
  <c r="X34" i="86" s="1"/>
  <c r="V30" i="86"/>
  <c r="X30" i="86" s="1"/>
  <c r="V26" i="86"/>
  <c r="X26" i="86" s="1"/>
  <c r="V22" i="86"/>
  <c r="X22" i="86" s="1"/>
  <c r="V18" i="86"/>
  <c r="X18" i="86" s="1"/>
  <c r="V37" i="86"/>
  <c r="X37" i="86" s="1"/>
  <c r="V33" i="86"/>
  <c r="X33" i="86" s="1"/>
  <c r="V29" i="86"/>
  <c r="X29" i="86" s="1"/>
  <c r="V25" i="86"/>
  <c r="X25" i="86" s="1"/>
  <c r="V21" i="86"/>
  <c r="X21" i="86" s="1"/>
  <c r="V17" i="86"/>
  <c r="X17" i="86" s="1"/>
  <c r="V40" i="86"/>
  <c r="X40" i="86" s="1"/>
  <c r="U97" i="86" s="1"/>
  <c r="V36" i="86"/>
  <c r="X36" i="86" s="1"/>
  <c r="V32" i="86"/>
  <c r="X32" i="86" s="1"/>
  <c r="V28" i="86"/>
  <c r="X28" i="86" s="1"/>
  <c r="V24" i="86"/>
  <c r="X24" i="86" s="1"/>
  <c r="V20" i="86"/>
  <c r="X20" i="86" s="1"/>
  <c r="V16" i="86"/>
  <c r="X16" i="86" s="1"/>
  <c r="U47" i="86"/>
  <c r="U48" i="86"/>
  <c r="T92" i="45"/>
  <c r="T93" i="45"/>
  <c r="W37" i="45"/>
  <c r="T80" i="45"/>
  <c r="T81" i="45"/>
  <c r="W31" i="45"/>
  <c r="T53" i="45"/>
  <c r="T52" i="45"/>
  <c r="W17" i="45"/>
  <c r="T88" i="45"/>
  <c r="T89" i="45"/>
  <c r="W35" i="45"/>
  <c r="T60" i="45"/>
  <c r="T61" i="45"/>
  <c r="W21" i="45"/>
  <c r="V16" i="45" a="1"/>
  <c r="T48" i="45"/>
  <c r="W15" i="45"/>
  <c r="V15" i="45"/>
  <c r="X15" i="45" s="1"/>
  <c r="T49" i="45"/>
  <c r="T75" i="45"/>
  <c r="T74" i="45"/>
  <c r="W28" i="45"/>
  <c r="W22" i="45"/>
  <c r="T56" i="45"/>
  <c r="T57" i="45"/>
  <c r="W19" i="45"/>
  <c r="T83" i="45"/>
  <c r="T82" i="45"/>
  <c r="W32" i="45"/>
  <c r="W26" i="45"/>
  <c r="T71" i="45"/>
  <c r="T70" i="45"/>
  <c r="W30" i="45"/>
  <c r="T78" i="45"/>
  <c r="T79" i="45"/>
  <c r="T51" i="45"/>
  <c r="T50" i="45"/>
  <c r="W16" i="45"/>
  <c r="T84" i="45"/>
  <c r="T85" i="45"/>
  <c r="W33" i="45"/>
  <c r="V15" i="44"/>
  <c r="X15" i="44" s="1"/>
  <c r="V16" i="44" a="1"/>
  <c r="T51" i="44"/>
  <c r="T50" i="44"/>
  <c r="W16" i="44"/>
  <c r="T59" i="44"/>
  <c r="T58" i="44"/>
  <c r="W20" i="44"/>
  <c r="T75" i="44"/>
  <c r="T74" i="44"/>
  <c r="W28" i="44"/>
  <c r="W36" i="44"/>
  <c r="T91" i="44"/>
  <c r="T90" i="44"/>
  <c r="W21" i="44"/>
  <c r="T60" i="44"/>
  <c r="T61" i="44"/>
  <c r="W29" i="44"/>
  <c r="T76" i="44"/>
  <c r="T77" i="44"/>
  <c r="W39" i="44"/>
  <c r="T96" i="44"/>
  <c r="T97" i="44"/>
  <c r="W22" i="44"/>
  <c r="T63" i="44"/>
  <c r="T62" i="44"/>
  <c r="W30" i="44"/>
  <c r="T79" i="44"/>
  <c r="T78" i="44"/>
  <c r="W38" i="44"/>
  <c r="T95" i="44"/>
  <c r="T94" i="44"/>
  <c r="W23" i="44"/>
  <c r="T64" i="44"/>
  <c r="T65" i="44"/>
  <c r="W31" i="44"/>
  <c r="T80" i="44"/>
  <c r="T81" i="44"/>
  <c r="T48" i="44"/>
  <c r="W15" i="44"/>
  <c r="T49" i="44"/>
  <c r="T67" i="44"/>
  <c r="T66" i="44"/>
  <c r="W24" i="44"/>
  <c r="T83" i="44"/>
  <c r="T82" i="44"/>
  <c r="W32" i="44"/>
  <c r="W17" i="44"/>
  <c r="T52" i="44"/>
  <c r="T53" i="44"/>
  <c r="W25" i="44"/>
  <c r="T68" i="44"/>
  <c r="T69" i="44"/>
  <c r="W33" i="44"/>
  <c r="T84" i="44"/>
  <c r="T85" i="44"/>
  <c r="W37" i="44"/>
  <c r="T92" i="44"/>
  <c r="T93" i="44"/>
  <c r="W18" i="44"/>
  <c r="T55" i="44"/>
  <c r="T54" i="44"/>
  <c r="W26" i="44"/>
  <c r="T71" i="44"/>
  <c r="T70" i="44"/>
  <c r="W34" i="44"/>
  <c r="T87" i="44"/>
  <c r="T86" i="44"/>
  <c r="W19" i="44"/>
  <c r="T56" i="44"/>
  <c r="T57" i="44"/>
  <c r="W27" i="44"/>
  <c r="T72" i="44"/>
  <c r="T73" i="44"/>
  <c r="W35" i="44"/>
  <c r="T88" i="44"/>
  <c r="T89" i="44"/>
  <c r="I107" i="44"/>
  <c r="I70" i="44"/>
  <c r="I109" i="44"/>
  <c r="I97" i="44"/>
  <c r="I93" i="44"/>
  <c r="I89" i="44"/>
  <c r="I85" i="44"/>
  <c r="I81" i="44"/>
  <c r="I77" i="44"/>
  <c r="I73" i="44"/>
  <c r="I63" i="44"/>
  <c r="I106" i="44"/>
  <c r="I68" i="44"/>
  <c r="I66" i="44"/>
  <c r="I100" i="44"/>
  <c r="I96" i="44"/>
  <c r="I92" i="44"/>
  <c r="I88" i="44"/>
  <c r="I84" i="44"/>
  <c r="I80" i="44"/>
  <c r="I76" i="44"/>
  <c r="I72" i="44"/>
  <c r="I112" i="44"/>
  <c r="I104" i="44"/>
  <c r="I103" i="44"/>
  <c r="I113" i="44"/>
  <c r="I64" i="44"/>
  <c r="I105" i="44"/>
  <c r="I99" i="44"/>
  <c r="I95" i="44"/>
  <c r="I91" i="44"/>
  <c r="I87" i="44"/>
  <c r="I83" i="44"/>
  <c r="I79" i="44"/>
  <c r="I75" i="44"/>
  <c r="I71" i="44"/>
  <c r="I110" i="44"/>
  <c r="I102" i="44"/>
  <c r="I101" i="44"/>
  <c r="I65" i="44"/>
  <c r="I111" i="44"/>
  <c r="I69" i="44"/>
  <c r="I98" i="44"/>
  <c r="I94" i="44"/>
  <c r="I90" i="44"/>
  <c r="I86" i="44"/>
  <c r="I82" i="44"/>
  <c r="I78" i="44"/>
  <c r="I74" i="44"/>
  <c r="I67" i="44"/>
  <c r="I108" i="44"/>
  <c r="U92" i="113" l="1"/>
  <c r="U88" i="113"/>
  <c r="U51" i="113"/>
  <c r="U61" i="113"/>
  <c r="U48" i="112"/>
  <c r="U47" i="112"/>
  <c r="V40" i="112"/>
  <c r="X40" i="112" s="1"/>
  <c r="U97" i="112" s="1"/>
  <c r="V24" i="112"/>
  <c r="X24" i="112" s="1"/>
  <c r="V35" i="112"/>
  <c r="X35" i="112" s="1"/>
  <c r="V19" i="112"/>
  <c r="X19" i="112" s="1"/>
  <c r="V26" i="112"/>
  <c r="X26" i="112" s="1"/>
  <c r="V33" i="112"/>
  <c r="X33" i="112" s="1"/>
  <c r="V17" i="112"/>
  <c r="X17" i="112" s="1"/>
  <c r="V36" i="112"/>
  <c r="X36" i="112" s="1"/>
  <c r="V20" i="112"/>
  <c r="X20" i="112" s="1"/>
  <c r="V31" i="112"/>
  <c r="X31" i="112" s="1"/>
  <c r="V38" i="112"/>
  <c r="X38" i="112" s="1"/>
  <c r="V22" i="112"/>
  <c r="X22" i="112" s="1"/>
  <c r="V29" i="112"/>
  <c r="X29" i="112" s="1"/>
  <c r="V32" i="112"/>
  <c r="X32" i="112" s="1"/>
  <c r="V16" i="112"/>
  <c r="X16" i="112" s="1"/>
  <c r="V27" i="112"/>
  <c r="X27" i="112" s="1"/>
  <c r="V34" i="112"/>
  <c r="X34" i="112" s="1"/>
  <c r="V18" i="112"/>
  <c r="X18" i="112" s="1"/>
  <c r="V25" i="112"/>
  <c r="X25" i="112" s="1"/>
  <c r="V28" i="112"/>
  <c r="X28" i="112" s="1"/>
  <c r="V39" i="112"/>
  <c r="X39" i="112" s="1"/>
  <c r="V23" i="112"/>
  <c r="X23" i="112" s="1"/>
  <c r="V30" i="112"/>
  <c r="X30" i="112" s="1"/>
  <c r="V37" i="112"/>
  <c r="X37" i="112" s="1"/>
  <c r="V21" i="112"/>
  <c r="X21" i="112" s="1"/>
  <c r="U93" i="90"/>
  <c r="U62" i="90"/>
  <c r="V35" i="115"/>
  <c r="X35" i="115" s="1"/>
  <c r="V19" i="115"/>
  <c r="X19" i="115" s="1"/>
  <c r="V26" i="115"/>
  <c r="X26" i="115" s="1"/>
  <c r="V33" i="115"/>
  <c r="X33" i="115" s="1"/>
  <c r="V17" i="115"/>
  <c r="X17" i="115" s="1"/>
  <c r="V28" i="115"/>
  <c r="X28" i="115" s="1"/>
  <c r="V31" i="115"/>
  <c r="X31" i="115" s="1"/>
  <c r="V38" i="115"/>
  <c r="X38" i="115" s="1"/>
  <c r="V22" i="115"/>
  <c r="X22" i="115" s="1"/>
  <c r="V29" i="115"/>
  <c r="X29" i="115" s="1"/>
  <c r="V40" i="115"/>
  <c r="X40" i="115" s="1"/>
  <c r="U97" i="115" s="1"/>
  <c r="V24" i="115"/>
  <c r="X24" i="115" s="1"/>
  <c r="V27" i="115"/>
  <c r="X27" i="115" s="1"/>
  <c r="V34" i="115"/>
  <c r="X34" i="115" s="1"/>
  <c r="V18" i="115"/>
  <c r="X18" i="115" s="1"/>
  <c r="V25" i="115"/>
  <c r="X25" i="115" s="1"/>
  <c r="V36" i="115"/>
  <c r="X36" i="115" s="1"/>
  <c r="V20" i="115"/>
  <c r="X20" i="115" s="1"/>
  <c r="V39" i="115"/>
  <c r="X39" i="115" s="1"/>
  <c r="V23" i="115"/>
  <c r="X23" i="115" s="1"/>
  <c r="V30" i="115"/>
  <c r="X30" i="115" s="1"/>
  <c r="V37" i="115"/>
  <c r="X37" i="115" s="1"/>
  <c r="V21" i="115"/>
  <c r="X21" i="115" s="1"/>
  <c r="V32" i="115"/>
  <c r="X32" i="115" s="1"/>
  <c r="V16" i="115"/>
  <c r="X16" i="115" s="1"/>
  <c r="U47" i="115"/>
  <c r="U48" i="115"/>
  <c r="V27" i="110"/>
  <c r="X27" i="110" s="1"/>
  <c r="V34" i="110"/>
  <c r="X34" i="110" s="1"/>
  <c r="V18" i="110"/>
  <c r="X18" i="110" s="1"/>
  <c r="V25" i="110"/>
  <c r="X25" i="110" s="1"/>
  <c r="V36" i="110"/>
  <c r="X36" i="110" s="1"/>
  <c r="V20" i="110"/>
  <c r="X20" i="110" s="1"/>
  <c r="V31" i="110"/>
  <c r="X31" i="110" s="1"/>
  <c r="V40" i="110"/>
  <c r="X40" i="110" s="1"/>
  <c r="U97" i="110" s="1"/>
  <c r="V39" i="110"/>
  <c r="X39" i="110" s="1"/>
  <c r="V23" i="110"/>
  <c r="X23" i="110" s="1"/>
  <c r="V30" i="110"/>
  <c r="X30" i="110" s="1"/>
  <c r="V37" i="110"/>
  <c r="X37" i="110" s="1"/>
  <c r="V21" i="110"/>
  <c r="X21" i="110" s="1"/>
  <c r="V32" i="110"/>
  <c r="X32" i="110" s="1"/>
  <c r="V16" i="110"/>
  <c r="X16" i="110" s="1"/>
  <c r="V38" i="110"/>
  <c r="X38" i="110" s="1"/>
  <c r="V22" i="110"/>
  <c r="X22" i="110" s="1"/>
  <c r="V29" i="110"/>
  <c r="X29" i="110" s="1"/>
  <c r="V24" i="110"/>
  <c r="X24" i="110" s="1"/>
  <c r="V35" i="110"/>
  <c r="X35" i="110" s="1"/>
  <c r="V19" i="110"/>
  <c r="X19" i="110" s="1"/>
  <c r="V26" i="110"/>
  <c r="X26" i="110" s="1"/>
  <c r="V33" i="110"/>
  <c r="X33" i="110" s="1"/>
  <c r="V17" i="110"/>
  <c r="X17" i="110" s="1"/>
  <c r="V28" i="110"/>
  <c r="X28" i="110" s="1"/>
  <c r="U48" i="110"/>
  <c r="U47" i="110"/>
  <c r="U48" i="107"/>
  <c r="U47" i="107"/>
  <c r="V31" i="107"/>
  <c r="X31" i="107" s="1"/>
  <c r="V38" i="107"/>
  <c r="X38" i="107" s="1"/>
  <c r="V17" i="107"/>
  <c r="X17" i="107" s="1"/>
  <c r="V21" i="107"/>
  <c r="X21" i="107" s="1"/>
  <c r="V25" i="107"/>
  <c r="X25" i="107" s="1"/>
  <c r="V29" i="107"/>
  <c r="X29" i="107" s="1"/>
  <c r="V27" i="107"/>
  <c r="X27" i="107" s="1"/>
  <c r="V33" i="107"/>
  <c r="X33" i="107" s="1"/>
  <c r="V37" i="107"/>
  <c r="X37" i="107" s="1"/>
  <c r="V16" i="107"/>
  <c r="X16" i="107" s="1"/>
  <c r="V20" i="107"/>
  <c r="X20" i="107" s="1"/>
  <c r="V24" i="107"/>
  <c r="X24" i="107" s="1"/>
  <c r="V39" i="107"/>
  <c r="X39" i="107" s="1"/>
  <c r="V23" i="107"/>
  <c r="X23" i="107" s="1"/>
  <c r="V28" i="107"/>
  <c r="X28" i="107" s="1"/>
  <c r="V32" i="107"/>
  <c r="X32" i="107" s="1"/>
  <c r="V36" i="107"/>
  <c r="X36" i="107" s="1"/>
  <c r="V40" i="107"/>
  <c r="X40" i="107" s="1"/>
  <c r="U97" i="107" s="1"/>
  <c r="V18" i="107"/>
  <c r="X18" i="107" s="1"/>
  <c r="V35" i="107"/>
  <c r="X35" i="107" s="1"/>
  <c r="V19" i="107"/>
  <c r="X19" i="107" s="1"/>
  <c r="V22" i="107"/>
  <c r="X22" i="107" s="1"/>
  <c r="V26" i="107"/>
  <c r="X26" i="107" s="1"/>
  <c r="V30" i="107"/>
  <c r="X30" i="107" s="1"/>
  <c r="V34" i="107"/>
  <c r="X34" i="107" s="1"/>
  <c r="U47" i="104"/>
  <c r="U48" i="104"/>
  <c r="V35" i="104"/>
  <c r="X35" i="104" s="1"/>
  <c r="V19" i="104"/>
  <c r="X19" i="104" s="1"/>
  <c r="V26" i="104"/>
  <c r="X26" i="104" s="1"/>
  <c r="V33" i="104"/>
  <c r="X33" i="104" s="1"/>
  <c r="V17" i="104"/>
  <c r="X17" i="104" s="1"/>
  <c r="V28" i="104"/>
  <c r="X28" i="104" s="1"/>
  <c r="V31" i="104"/>
  <c r="X31" i="104" s="1"/>
  <c r="V38" i="104"/>
  <c r="X38" i="104" s="1"/>
  <c r="V22" i="104"/>
  <c r="X22" i="104" s="1"/>
  <c r="V29" i="104"/>
  <c r="X29" i="104" s="1"/>
  <c r="V40" i="104"/>
  <c r="X40" i="104" s="1"/>
  <c r="U97" i="104" s="1"/>
  <c r="V24" i="104"/>
  <c r="X24" i="104" s="1"/>
  <c r="V27" i="104"/>
  <c r="X27" i="104" s="1"/>
  <c r="V34" i="104"/>
  <c r="X34" i="104" s="1"/>
  <c r="V18" i="104"/>
  <c r="X18" i="104" s="1"/>
  <c r="V25" i="104"/>
  <c r="X25" i="104" s="1"/>
  <c r="V36" i="104"/>
  <c r="X36" i="104" s="1"/>
  <c r="V20" i="104"/>
  <c r="X20" i="104" s="1"/>
  <c r="V39" i="104"/>
  <c r="X39" i="104" s="1"/>
  <c r="V23" i="104"/>
  <c r="X23" i="104" s="1"/>
  <c r="V30" i="104"/>
  <c r="X30" i="104" s="1"/>
  <c r="V37" i="104"/>
  <c r="X37" i="104" s="1"/>
  <c r="V21" i="104"/>
  <c r="X21" i="104" s="1"/>
  <c r="V32" i="104"/>
  <c r="X32" i="104" s="1"/>
  <c r="V16" i="104"/>
  <c r="X16" i="104" s="1"/>
  <c r="V29" i="99"/>
  <c r="X29" i="99" s="1"/>
  <c r="V40" i="99"/>
  <c r="X40" i="99" s="1"/>
  <c r="U97" i="99" s="1"/>
  <c r="V24" i="99"/>
  <c r="X24" i="99" s="1"/>
  <c r="V35" i="99"/>
  <c r="X35" i="99" s="1"/>
  <c r="V19" i="99"/>
  <c r="X19" i="99" s="1"/>
  <c r="V26" i="99"/>
  <c r="X26" i="99" s="1"/>
  <c r="V22" i="99"/>
  <c r="X22" i="99" s="1"/>
  <c r="V37" i="99"/>
  <c r="X37" i="99" s="1"/>
  <c r="V21" i="99"/>
  <c r="X21" i="99" s="1"/>
  <c r="V32" i="99"/>
  <c r="X32" i="99" s="1"/>
  <c r="V16" i="99"/>
  <c r="X16" i="99" s="1"/>
  <c r="V27" i="99"/>
  <c r="X27" i="99" s="1"/>
  <c r="V34" i="99"/>
  <c r="X34" i="99" s="1"/>
  <c r="V18" i="99"/>
  <c r="X18" i="99" s="1"/>
  <c r="V25" i="99"/>
  <c r="X25" i="99" s="1"/>
  <c r="V36" i="99"/>
  <c r="X36" i="99" s="1"/>
  <c r="V20" i="99"/>
  <c r="X20" i="99" s="1"/>
  <c r="V31" i="99"/>
  <c r="X31" i="99" s="1"/>
  <c r="V38" i="99"/>
  <c r="X38" i="99" s="1"/>
  <c r="V33" i="99"/>
  <c r="X33" i="99" s="1"/>
  <c r="V17" i="99"/>
  <c r="X17" i="99" s="1"/>
  <c r="V28" i="99"/>
  <c r="X28" i="99" s="1"/>
  <c r="V39" i="99"/>
  <c r="X39" i="99" s="1"/>
  <c r="V23" i="99"/>
  <c r="X23" i="99" s="1"/>
  <c r="V30" i="99"/>
  <c r="X30" i="99" s="1"/>
  <c r="U48" i="99"/>
  <c r="U47" i="99"/>
  <c r="U75" i="90"/>
  <c r="U74" i="119"/>
  <c r="U73" i="119"/>
  <c r="U51" i="119"/>
  <c r="U52" i="119"/>
  <c r="U83" i="119"/>
  <c r="U84" i="119"/>
  <c r="U70" i="119"/>
  <c r="U69" i="119"/>
  <c r="U55" i="119"/>
  <c r="U56" i="119"/>
  <c r="U87" i="119"/>
  <c r="U88" i="119"/>
  <c r="U49" i="119"/>
  <c r="U50" i="119"/>
  <c r="U81" i="119"/>
  <c r="U82" i="119"/>
  <c r="U59" i="119"/>
  <c r="U60" i="119"/>
  <c r="U91" i="119"/>
  <c r="U92" i="119"/>
  <c r="U78" i="119"/>
  <c r="U77" i="119"/>
  <c r="U63" i="119"/>
  <c r="U64" i="119"/>
  <c r="U95" i="119"/>
  <c r="U96" i="119"/>
  <c r="U58" i="119"/>
  <c r="U57" i="119"/>
  <c r="U90" i="119"/>
  <c r="U89" i="119"/>
  <c r="U67" i="119"/>
  <c r="U68" i="119"/>
  <c r="U53" i="119"/>
  <c r="U54" i="119"/>
  <c r="U85" i="119"/>
  <c r="U86" i="119"/>
  <c r="U71" i="119"/>
  <c r="U72" i="119"/>
  <c r="U66" i="119"/>
  <c r="U65" i="119"/>
  <c r="U75" i="119"/>
  <c r="U76" i="119"/>
  <c r="U61" i="119"/>
  <c r="U62" i="119"/>
  <c r="U93" i="119"/>
  <c r="U94" i="119"/>
  <c r="U79" i="119"/>
  <c r="U80" i="119"/>
  <c r="U59" i="118"/>
  <c r="U60" i="118"/>
  <c r="U91" i="118"/>
  <c r="U92" i="118"/>
  <c r="U77" i="118"/>
  <c r="U78" i="118"/>
  <c r="U63" i="118"/>
  <c r="U64" i="118"/>
  <c r="U95" i="118"/>
  <c r="U96" i="118"/>
  <c r="U73" i="118"/>
  <c r="U74" i="118"/>
  <c r="U67" i="118"/>
  <c r="U68" i="118"/>
  <c r="U54" i="118"/>
  <c r="U53" i="118"/>
  <c r="U85" i="118"/>
  <c r="U86" i="118"/>
  <c r="U71" i="118"/>
  <c r="U72" i="118"/>
  <c r="U50" i="118"/>
  <c r="U49" i="118"/>
  <c r="U81" i="118"/>
  <c r="U82" i="118"/>
  <c r="U75" i="118"/>
  <c r="U76" i="118"/>
  <c r="U62" i="118"/>
  <c r="U61" i="118"/>
  <c r="U93" i="118"/>
  <c r="U94" i="118"/>
  <c r="U79" i="118"/>
  <c r="U80" i="118"/>
  <c r="U58" i="118"/>
  <c r="U57" i="118"/>
  <c r="U89" i="118"/>
  <c r="U90" i="118"/>
  <c r="U51" i="118"/>
  <c r="U52" i="118"/>
  <c r="U83" i="118"/>
  <c r="U84" i="118"/>
  <c r="U69" i="118"/>
  <c r="U70" i="118"/>
  <c r="U55" i="118"/>
  <c r="U56" i="118"/>
  <c r="U87" i="118"/>
  <c r="U88" i="118"/>
  <c r="U66" i="118"/>
  <c r="U65" i="118"/>
  <c r="U79" i="117"/>
  <c r="U80" i="117"/>
  <c r="U58" i="117"/>
  <c r="U57" i="117"/>
  <c r="U90" i="117"/>
  <c r="U89" i="117"/>
  <c r="U67" i="117"/>
  <c r="U68" i="117"/>
  <c r="U53" i="117"/>
  <c r="U54" i="117"/>
  <c r="U86" i="117"/>
  <c r="U85" i="117"/>
  <c r="U56" i="117"/>
  <c r="U55" i="117"/>
  <c r="U87" i="117"/>
  <c r="U88" i="117"/>
  <c r="U66" i="117"/>
  <c r="U65" i="117"/>
  <c r="U75" i="117"/>
  <c r="U76" i="117"/>
  <c r="U62" i="117"/>
  <c r="U61" i="117"/>
  <c r="U94" i="117"/>
  <c r="U93" i="117"/>
  <c r="U64" i="117"/>
  <c r="U63" i="117"/>
  <c r="U95" i="117"/>
  <c r="U96" i="117"/>
  <c r="U74" i="117"/>
  <c r="U73" i="117"/>
  <c r="U52" i="117"/>
  <c r="U51" i="117"/>
  <c r="U83" i="117"/>
  <c r="U84" i="117"/>
  <c r="U70" i="117"/>
  <c r="U69" i="117"/>
  <c r="U71" i="117"/>
  <c r="U72" i="117"/>
  <c r="U49" i="117"/>
  <c r="U50" i="117"/>
  <c r="U82" i="117"/>
  <c r="U81" i="117"/>
  <c r="U60" i="117"/>
  <c r="U59" i="117"/>
  <c r="U91" i="117"/>
  <c r="U92" i="117"/>
  <c r="U78" i="117"/>
  <c r="U77" i="117"/>
  <c r="U79" i="109"/>
  <c r="U80" i="109"/>
  <c r="U58" i="109"/>
  <c r="U57" i="109"/>
  <c r="U90" i="109"/>
  <c r="U89" i="109"/>
  <c r="U67" i="109"/>
  <c r="U68" i="109"/>
  <c r="U53" i="109"/>
  <c r="U54" i="109"/>
  <c r="U86" i="109"/>
  <c r="U85" i="109"/>
  <c r="U55" i="109"/>
  <c r="U56" i="109"/>
  <c r="U87" i="109"/>
  <c r="U88" i="109"/>
  <c r="U65" i="109"/>
  <c r="U66" i="109"/>
  <c r="U75" i="109"/>
  <c r="U76" i="109"/>
  <c r="U61" i="109"/>
  <c r="U62" i="109"/>
  <c r="U94" i="109"/>
  <c r="U93" i="109"/>
  <c r="U63" i="109"/>
  <c r="U64" i="109"/>
  <c r="U95" i="109"/>
  <c r="U96" i="109"/>
  <c r="U74" i="109"/>
  <c r="U73" i="109"/>
  <c r="U52" i="109"/>
  <c r="U51" i="109"/>
  <c r="U83" i="109"/>
  <c r="U84" i="109"/>
  <c r="U70" i="109"/>
  <c r="U69" i="109"/>
  <c r="U71" i="109"/>
  <c r="U72" i="109"/>
  <c r="U49" i="109"/>
  <c r="U50" i="109"/>
  <c r="U82" i="109"/>
  <c r="U81" i="109"/>
  <c r="U59" i="109"/>
  <c r="U60" i="109"/>
  <c r="U91" i="109"/>
  <c r="U92" i="109"/>
  <c r="U78" i="109"/>
  <c r="U77" i="109"/>
  <c r="U77" i="101"/>
  <c r="U78" i="101"/>
  <c r="U80" i="101"/>
  <c r="U79" i="101"/>
  <c r="U85" i="101"/>
  <c r="U86" i="101"/>
  <c r="U73" i="101"/>
  <c r="U74" i="101"/>
  <c r="U69" i="101"/>
  <c r="U70" i="101"/>
  <c r="U68" i="101"/>
  <c r="U67" i="101"/>
  <c r="U56" i="101"/>
  <c r="U55" i="101"/>
  <c r="U88" i="101"/>
  <c r="U87" i="101"/>
  <c r="U49" i="101"/>
  <c r="U50" i="101"/>
  <c r="U81" i="101"/>
  <c r="U82" i="101"/>
  <c r="U93" i="101"/>
  <c r="U94" i="101"/>
  <c r="U76" i="101"/>
  <c r="U75" i="101"/>
  <c r="U64" i="101"/>
  <c r="U63" i="101"/>
  <c r="U96" i="101"/>
  <c r="U95" i="101"/>
  <c r="U58" i="101"/>
  <c r="U57" i="101"/>
  <c r="U89" i="101"/>
  <c r="U90" i="101"/>
  <c r="U52" i="101"/>
  <c r="U51" i="101"/>
  <c r="U84" i="101"/>
  <c r="U83" i="101"/>
  <c r="U62" i="101"/>
  <c r="U61" i="101"/>
  <c r="U72" i="101"/>
  <c r="U71" i="101"/>
  <c r="U54" i="101"/>
  <c r="U53" i="101"/>
  <c r="U66" i="101"/>
  <c r="U65" i="101"/>
  <c r="U60" i="101"/>
  <c r="U59" i="101"/>
  <c r="U92" i="101"/>
  <c r="U91" i="101"/>
  <c r="U81" i="98"/>
  <c r="U82" i="98"/>
  <c r="U73" i="98"/>
  <c r="U74" i="98"/>
  <c r="U65" i="98"/>
  <c r="U66" i="98"/>
  <c r="U57" i="98"/>
  <c r="U58" i="98"/>
  <c r="U51" i="98"/>
  <c r="U52" i="98"/>
  <c r="U83" i="98"/>
  <c r="U84" i="98"/>
  <c r="U50" i="98"/>
  <c r="U49" i="98"/>
  <c r="U93" i="98"/>
  <c r="U94" i="98"/>
  <c r="U85" i="98"/>
  <c r="U86" i="98"/>
  <c r="U77" i="98"/>
  <c r="U78" i="98"/>
  <c r="U69" i="98"/>
  <c r="U70" i="98"/>
  <c r="U59" i="98"/>
  <c r="U60" i="98"/>
  <c r="U91" i="98"/>
  <c r="U92" i="98"/>
  <c r="U62" i="98"/>
  <c r="U61" i="98"/>
  <c r="U54" i="98"/>
  <c r="U53" i="98"/>
  <c r="U95" i="98"/>
  <c r="U96" i="98"/>
  <c r="U87" i="98"/>
  <c r="U88" i="98"/>
  <c r="U79" i="98"/>
  <c r="U80" i="98"/>
  <c r="U67" i="98"/>
  <c r="U68" i="98"/>
  <c r="U71" i="98"/>
  <c r="U72" i="98"/>
  <c r="U64" i="98"/>
  <c r="U63" i="98"/>
  <c r="U55" i="98"/>
  <c r="U56" i="98"/>
  <c r="U89" i="98"/>
  <c r="U90" i="98"/>
  <c r="U75" i="98"/>
  <c r="U76" i="98"/>
  <c r="U89" i="97"/>
  <c r="U90" i="97"/>
  <c r="U81" i="97"/>
  <c r="U82" i="97"/>
  <c r="U73" i="97"/>
  <c r="U74" i="97"/>
  <c r="U66" i="97"/>
  <c r="U65" i="97"/>
  <c r="U54" i="97"/>
  <c r="U53" i="97"/>
  <c r="U85" i="97"/>
  <c r="U86" i="97"/>
  <c r="U58" i="97"/>
  <c r="U57" i="97"/>
  <c r="U50" i="97"/>
  <c r="U49" i="97"/>
  <c r="U91" i="97"/>
  <c r="U92" i="97"/>
  <c r="U83" i="97"/>
  <c r="U84" i="97"/>
  <c r="U75" i="97"/>
  <c r="U76" i="97"/>
  <c r="U62" i="97"/>
  <c r="U61" i="97"/>
  <c r="U93" i="97"/>
  <c r="U94" i="97"/>
  <c r="U67" i="97"/>
  <c r="U68" i="97"/>
  <c r="U59" i="97"/>
  <c r="U60" i="97"/>
  <c r="U51" i="97"/>
  <c r="U52" i="97"/>
  <c r="U95" i="97"/>
  <c r="U96" i="97"/>
  <c r="U87" i="97"/>
  <c r="U88" i="97"/>
  <c r="U69" i="97"/>
  <c r="U70" i="97"/>
  <c r="U79" i="97"/>
  <c r="U80" i="97"/>
  <c r="U71" i="97"/>
  <c r="U72" i="97"/>
  <c r="U64" i="97"/>
  <c r="U63" i="97"/>
  <c r="U55" i="97"/>
  <c r="U56" i="97"/>
  <c r="U77" i="97"/>
  <c r="U78" i="97"/>
  <c r="U62" i="95"/>
  <c r="U61" i="95"/>
  <c r="U93" i="95"/>
  <c r="U94" i="95"/>
  <c r="U79" i="95"/>
  <c r="U80" i="95"/>
  <c r="U57" i="95"/>
  <c r="U58" i="95"/>
  <c r="U89" i="95"/>
  <c r="U90" i="95"/>
  <c r="U67" i="95"/>
  <c r="U68" i="95"/>
  <c r="U69" i="95"/>
  <c r="U70" i="95"/>
  <c r="U55" i="95"/>
  <c r="U56" i="95"/>
  <c r="U87" i="95"/>
  <c r="U88" i="95"/>
  <c r="U65" i="95"/>
  <c r="U66" i="95"/>
  <c r="U75" i="95"/>
  <c r="U76" i="95"/>
  <c r="U77" i="95"/>
  <c r="U78" i="95"/>
  <c r="U63" i="95"/>
  <c r="U64" i="95"/>
  <c r="U95" i="95"/>
  <c r="U96" i="95"/>
  <c r="U73" i="95"/>
  <c r="U74" i="95"/>
  <c r="U51" i="95"/>
  <c r="U52" i="95"/>
  <c r="U83" i="95"/>
  <c r="U84" i="95"/>
  <c r="U54" i="95"/>
  <c r="U53" i="95"/>
  <c r="U85" i="95"/>
  <c r="U86" i="95"/>
  <c r="U71" i="95"/>
  <c r="U72" i="95"/>
  <c r="U50" i="95"/>
  <c r="U49" i="95"/>
  <c r="U81" i="95"/>
  <c r="U82" i="95"/>
  <c r="U59" i="95"/>
  <c r="U60" i="95"/>
  <c r="U91" i="95"/>
  <c r="U92" i="95"/>
  <c r="U60" i="93"/>
  <c r="U59" i="93"/>
  <c r="U73" i="93"/>
  <c r="U74" i="93"/>
  <c r="U68" i="93"/>
  <c r="U67" i="93"/>
  <c r="U53" i="93"/>
  <c r="U54" i="93"/>
  <c r="U85" i="93"/>
  <c r="U86" i="93"/>
  <c r="U72" i="93"/>
  <c r="U71" i="93"/>
  <c r="U49" i="93"/>
  <c r="U50" i="93"/>
  <c r="U81" i="93"/>
  <c r="U82" i="93"/>
  <c r="U91" i="93"/>
  <c r="U92" i="93"/>
  <c r="U95" i="93"/>
  <c r="U96" i="93"/>
  <c r="U76" i="93"/>
  <c r="U75" i="93"/>
  <c r="U61" i="93"/>
  <c r="U62" i="93"/>
  <c r="U93" i="93"/>
  <c r="U94" i="93"/>
  <c r="U80" i="93"/>
  <c r="U79" i="93"/>
  <c r="U57" i="93"/>
  <c r="U58" i="93"/>
  <c r="U89" i="93"/>
  <c r="U90" i="93"/>
  <c r="U77" i="93"/>
  <c r="U78" i="93"/>
  <c r="U64" i="93"/>
  <c r="U63" i="93"/>
  <c r="U52" i="93"/>
  <c r="U51" i="93"/>
  <c r="U83" i="93"/>
  <c r="U84" i="93"/>
  <c r="U69" i="93"/>
  <c r="U70" i="93"/>
  <c r="U56" i="93"/>
  <c r="U55" i="93"/>
  <c r="U87" i="93"/>
  <c r="U88" i="93"/>
  <c r="U65" i="93"/>
  <c r="U66" i="93"/>
  <c r="U76" i="91"/>
  <c r="U75" i="91"/>
  <c r="U61" i="91"/>
  <c r="U62" i="91"/>
  <c r="U93" i="91"/>
  <c r="U94" i="91"/>
  <c r="U79" i="91"/>
  <c r="U80" i="91"/>
  <c r="U57" i="91"/>
  <c r="U58" i="91"/>
  <c r="U89" i="91"/>
  <c r="U90" i="91"/>
  <c r="U52" i="91"/>
  <c r="U51" i="91"/>
  <c r="U83" i="91"/>
  <c r="U84" i="91"/>
  <c r="U69" i="91"/>
  <c r="U70" i="91"/>
  <c r="U56" i="91"/>
  <c r="U55" i="91"/>
  <c r="U87" i="91"/>
  <c r="U88" i="91"/>
  <c r="U65" i="91"/>
  <c r="U66" i="91"/>
  <c r="U60" i="91"/>
  <c r="U59" i="91"/>
  <c r="U91" i="91"/>
  <c r="U92" i="91"/>
  <c r="U77" i="91"/>
  <c r="U78" i="91"/>
  <c r="U64" i="91"/>
  <c r="U63" i="91"/>
  <c r="U95" i="91"/>
  <c r="U96" i="91"/>
  <c r="U73" i="91"/>
  <c r="U74" i="91"/>
  <c r="U68" i="91"/>
  <c r="U67" i="91"/>
  <c r="U53" i="91"/>
  <c r="U54" i="91"/>
  <c r="U85" i="91"/>
  <c r="U86" i="91"/>
  <c r="U72" i="91"/>
  <c r="U71" i="91"/>
  <c r="U49" i="91"/>
  <c r="U50" i="91"/>
  <c r="U81" i="91"/>
  <c r="U82" i="91"/>
  <c r="U77" i="89"/>
  <c r="U78" i="89"/>
  <c r="U64" i="89"/>
  <c r="U63" i="89"/>
  <c r="U95" i="89"/>
  <c r="U96" i="89"/>
  <c r="U73" i="89"/>
  <c r="U74" i="89"/>
  <c r="U51" i="89"/>
  <c r="U52" i="89"/>
  <c r="U83" i="89"/>
  <c r="U84" i="89"/>
  <c r="U53" i="89"/>
  <c r="U54" i="89"/>
  <c r="U85" i="89"/>
  <c r="U86" i="89"/>
  <c r="U71" i="89"/>
  <c r="U72" i="89"/>
  <c r="U49" i="89"/>
  <c r="U50" i="89"/>
  <c r="U81" i="89"/>
  <c r="U82" i="89"/>
  <c r="U59" i="89"/>
  <c r="U60" i="89"/>
  <c r="U91" i="89"/>
  <c r="U92" i="89"/>
  <c r="U61" i="89"/>
  <c r="U62" i="89"/>
  <c r="U93" i="89"/>
  <c r="U94" i="89"/>
  <c r="U79" i="89"/>
  <c r="U80" i="89"/>
  <c r="U57" i="89"/>
  <c r="U58" i="89"/>
  <c r="U89" i="89"/>
  <c r="U90" i="89"/>
  <c r="U67" i="89"/>
  <c r="U68" i="89"/>
  <c r="U69" i="89"/>
  <c r="U70" i="89"/>
  <c r="U55" i="89"/>
  <c r="U56" i="89"/>
  <c r="U87" i="89"/>
  <c r="U88" i="89"/>
  <c r="U65" i="89"/>
  <c r="U66" i="89"/>
  <c r="U75" i="89"/>
  <c r="U76" i="89"/>
  <c r="U63" i="88"/>
  <c r="U64" i="88"/>
  <c r="U95" i="88"/>
  <c r="U96" i="88"/>
  <c r="U73" i="88"/>
  <c r="U74" i="88"/>
  <c r="U51" i="88"/>
  <c r="U52" i="88"/>
  <c r="U83" i="88"/>
  <c r="U84" i="88"/>
  <c r="U69" i="88"/>
  <c r="U70" i="88"/>
  <c r="U71" i="88"/>
  <c r="U72" i="88"/>
  <c r="U49" i="88"/>
  <c r="U50" i="88"/>
  <c r="U82" i="88"/>
  <c r="U81" i="88"/>
  <c r="U59" i="88"/>
  <c r="U60" i="88"/>
  <c r="U91" i="88"/>
  <c r="U92" i="88"/>
  <c r="U77" i="88"/>
  <c r="U78" i="88"/>
  <c r="U79" i="88"/>
  <c r="U80" i="88"/>
  <c r="U57" i="88"/>
  <c r="U58" i="88"/>
  <c r="U90" i="88"/>
  <c r="U89" i="88"/>
  <c r="U67" i="88"/>
  <c r="U68" i="88"/>
  <c r="U53" i="88"/>
  <c r="U54" i="88"/>
  <c r="U86" i="88"/>
  <c r="U85" i="88"/>
  <c r="U55" i="88"/>
  <c r="U56" i="88"/>
  <c r="U87" i="88"/>
  <c r="U88" i="88"/>
  <c r="U65" i="88"/>
  <c r="U66" i="88"/>
  <c r="U75" i="88"/>
  <c r="U76" i="88"/>
  <c r="U61" i="88"/>
  <c r="U62" i="88"/>
  <c r="U94" i="88"/>
  <c r="U93" i="88"/>
  <c r="U58" i="87"/>
  <c r="U57" i="87"/>
  <c r="U89" i="87"/>
  <c r="U90" i="87"/>
  <c r="U67" i="87"/>
  <c r="U68" i="87"/>
  <c r="U53" i="87"/>
  <c r="U54" i="87"/>
  <c r="U86" i="87"/>
  <c r="U85" i="87"/>
  <c r="U71" i="87"/>
  <c r="U72" i="87"/>
  <c r="U66" i="87"/>
  <c r="U65" i="87"/>
  <c r="U75" i="87"/>
  <c r="U76" i="87"/>
  <c r="U61" i="87"/>
  <c r="U62" i="87"/>
  <c r="U93" i="87"/>
  <c r="U94" i="87"/>
  <c r="U79" i="87"/>
  <c r="U80" i="87"/>
  <c r="U74" i="87"/>
  <c r="U73" i="87"/>
  <c r="U52" i="87"/>
  <c r="U51" i="87"/>
  <c r="U83" i="87"/>
  <c r="U84" i="87"/>
  <c r="U70" i="87"/>
  <c r="U69" i="87"/>
  <c r="U56" i="87"/>
  <c r="U55" i="87"/>
  <c r="U87" i="87"/>
  <c r="U88" i="87"/>
  <c r="U50" i="87"/>
  <c r="U49" i="87"/>
  <c r="U82" i="87"/>
  <c r="U81" i="87"/>
  <c r="U60" i="87"/>
  <c r="U59" i="87"/>
  <c r="U91" i="87"/>
  <c r="U92" i="87"/>
  <c r="U78" i="87"/>
  <c r="U77" i="87"/>
  <c r="U63" i="87"/>
  <c r="U64" i="87"/>
  <c r="U95" i="87"/>
  <c r="U96" i="87"/>
  <c r="U58" i="86"/>
  <c r="U57" i="86"/>
  <c r="U89" i="86"/>
  <c r="U90" i="86"/>
  <c r="U68" i="86"/>
  <c r="U67" i="86"/>
  <c r="U54" i="86"/>
  <c r="U53" i="86"/>
  <c r="U85" i="86"/>
  <c r="U86" i="86"/>
  <c r="U71" i="86"/>
  <c r="U72" i="86"/>
  <c r="U66" i="86"/>
  <c r="U65" i="86"/>
  <c r="U75" i="86"/>
  <c r="U76" i="86"/>
  <c r="U62" i="86"/>
  <c r="U61" i="86"/>
  <c r="U93" i="86"/>
  <c r="U94" i="86"/>
  <c r="U79" i="86"/>
  <c r="U80" i="86"/>
  <c r="U73" i="86"/>
  <c r="U74" i="86"/>
  <c r="U51" i="86"/>
  <c r="U52" i="86"/>
  <c r="U83" i="86"/>
  <c r="U84" i="86"/>
  <c r="U69" i="86"/>
  <c r="U70" i="86"/>
  <c r="U55" i="86"/>
  <c r="U56" i="86"/>
  <c r="U87" i="86"/>
  <c r="U88" i="86"/>
  <c r="U50" i="86"/>
  <c r="U49" i="86"/>
  <c r="U81" i="86"/>
  <c r="U82" i="86"/>
  <c r="U59" i="86"/>
  <c r="U60" i="86"/>
  <c r="U91" i="86"/>
  <c r="U92" i="86"/>
  <c r="U77" i="86"/>
  <c r="U78" i="86"/>
  <c r="U64" i="86"/>
  <c r="U63" i="86"/>
  <c r="U95" i="86"/>
  <c r="U96" i="86"/>
  <c r="V27" i="45"/>
  <c r="X27" i="45" s="1"/>
  <c r="V34" i="45"/>
  <c r="X34" i="45" s="1"/>
  <c r="V18" i="45"/>
  <c r="X18" i="45" s="1"/>
  <c r="V25" i="45"/>
  <c r="X25" i="45" s="1"/>
  <c r="V36" i="45"/>
  <c r="X36" i="45" s="1"/>
  <c r="V20" i="45"/>
  <c r="X20" i="45" s="1"/>
  <c r="V39" i="45"/>
  <c r="X39" i="45" s="1"/>
  <c r="V23" i="45"/>
  <c r="X23" i="45" s="1"/>
  <c r="V30" i="45"/>
  <c r="X30" i="45" s="1"/>
  <c r="V37" i="45"/>
  <c r="X37" i="45" s="1"/>
  <c r="V21" i="45"/>
  <c r="X21" i="45" s="1"/>
  <c r="V32" i="45"/>
  <c r="X32" i="45" s="1"/>
  <c r="V16" i="45"/>
  <c r="X16" i="45" s="1"/>
  <c r="V35" i="45"/>
  <c r="X35" i="45" s="1"/>
  <c r="V19" i="45"/>
  <c r="X19" i="45" s="1"/>
  <c r="V26" i="45"/>
  <c r="X26" i="45" s="1"/>
  <c r="V33" i="45"/>
  <c r="X33" i="45" s="1"/>
  <c r="V17" i="45"/>
  <c r="X17" i="45" s="1"/>
  <c r="V28" i="45"/>
  <c r="X28" i="45" s="1"/>
  <c r="V31" i="45"/>
  <c r="X31" i="45" s="1"/>
  <c r="V38" i="45"/>
  <c r="X38" i="45" s="1"/>
  <c r="V22" i="45"/>
  <c r="X22" i="45" s="1"/>
  <c r="V29" i="45"/>
  <c r="X29" i="45" s="1"/>
  <c r="V40" i="45"/>
  <c r="X40" i="45" s="1"/>
  <c r="U97" i="45" s="1"/>
  <c r="V24" i="45"/>
  <c r="X24" i="45" s="1"/>
  <c r="U47" i="45"/>
  <c r="U48" i="45"/>
  <c r="V16" i="44"/>
  <c r="X16" i="44" s="1"/>
  <c r="V19" i="44"/>
  <c r="X19" i="44" s="1"/>
  <c r="V35" i="44"/>
  <c r="X35" i="44" s="1"/>
  <c r="V23" i="44"/>
  <c r="X23" i="44" s="1"/>
  <c r="V39" i="44"/>
  <c r="X39" i="44" s="1"/>
  <c r="V27" i="44"/>
  <c r="X27" i="44" s="1"/>
  <c r="V31" i="44"/>
  <c r="X31" i="44" s="1"/>
  <c r="V34" i="44"/>
  <c r="X34" i="44" s="1"/>
  <c r="V18" i="44"/>
  <c r="X18" i="44" s="1"/>
  <c r="V25" i="44"/>
  <c r="X25" i="44" s="1"/>
  <c r="V36" i="44"/>
  <c r="X36" i="44" s="1"/>
  <c r="V20" i="44"/>
  <c r="X20" i="44" s="1"/>
  <c r="V30" i="44"/>
  <c r="X30" i="44" s="1"/>
  <c r="V37" i="44"/>
  <c r="X37" i="44" s="1"/>
  <c r="V21" i="44"/>
  <c r="X21" i="44" s="1"/>
  <c r="V32" i="44"/>
  <c r="X32" i="44" s="1"/>
  <c r="V26" i="44"/>
  <c r="X26" i="44" s="1"/>
  <c r="V33" i="44"/>
  <c r="X33" i="44" s="1"/>
  <c r="V17" i="44"/>
  <c r="X17" i="44" s="1"/>
  <c r="V28" i="44"/>
  <c r="X28" i="44" s="1"/>
  <c r="V38" i="44"/>
  <c r="X38" i="44" s="1"/>
  <c r="V22" i="44"/>
  <c r="X22" i="44" s="1"/>
  <c r="V29" i="44"/>
  <c r="X29" i="44" s="1"/>
  <c r="V40" i="44"/>
  <c r="X40" i="44" s="1"/>
  <c r="U97" i="44" s="1"/>
  <c r="V24" i="44"/>
  <c r="X24" i="44" s="1"/>
  <c r="B28" i="45"/>
  <c r="U48" i="44"/>
  <c r="U47" i="44"/>
  <c r="B28" i="43"/>
  <c r="B27" i="43"/>
  <c r="B26" i="43"/>
  <c r="B29" i="43"/>
  <c r="U59" i="112" l="1"/>
  <c r="U60" i="112"/>
  <c r="U85" i="112"/>
  <c r="U86" i="112"/>
  <c r="U75" i="112"/>
  <c r="U76" i="112"/>
  <c r="U69" i="112"/>
  <c r="U70" i="112"/>
  <c r="U64" i="112"/>
  <c r="U63" i="112"/>
  <c r="U54" i="112"/>
  <c r="U53" i="112"/>
  <c r="U82" i="112"/>
  <c r="U81" i="112"/>
  <c r="U80" i="112"/>
  <c r="U79" i="112"/>
  <c r="U84" i="112"/>
  <c r="U83" i="112"/>
  <c r="U65" i="112"/>
  <c r="U66" i="112"/>
  <c r="U95" i="112"/>
  <c r="U96" i="112"/>
  <c r="U91" i="112"/>
  <c r="U92" i="112"/>
  <c r="U74" i="112"/>
  <c r="U73" i="112"/>
  <c r="U72" i="112"/>
  <c r="U71" i="112"/>
  <c r="U62" i="112"/>
  <c r="U61" i="112"/>
  <c r="U90" i="112"/>
  <c r="U89" i="112"/>
  <c r="U56" i="112"/>
  <c r="U55" i="112"/>
  <c r="U57" i="112"/>
  <c r="U58" i="112"/>
  <c r="U77" i="112"/>
  <c r="U78" i="112"/>
  <c r="U67" i="112"/>
  <c r="U68" i="112"/>
  <c r="U49" i="112"/>
  <c r="U50" i="112"/>
  <c r="U93" i="112"/>
  <c r="U94" i="112"/>
  <c r="U51" i="112"/>
  <c r="U52" i="112"/>
  <c r="U87" i="112"/>
  <c r="U88" i="112"/>
  <c r="U73" i="115"/>
  <c r="U74" i="115"/>
  <c r="U88" i="115"/>
  <c r="U87" i="115"/>
  <c r="U82" i="115"/>
  <c r="U81" i="115"/>
  <c r="U63" i="115"/>
  <c r="U64" i="115"/>
  <c r="U67" i="115"/>
  <c r="U68" i="115"/>
  <c r="U66" i="115"/>
  <c r="U65" i="115"/>
  <c r="U93" i="115"/>
  <c r="U94" i="115"/>
  <c r="U83" i="115"/>
  <c r="U84" i="115"/>
  <c r="U59" i="115"/>
  <c r="U60" i="115"/>
  <c r="U96" i="115"/>
  <c r="U95" i="115"/>
  <c r="U54" i="115"/>
  <c r="U53" i="115"/>
  <c r="U80" i="115"/>
  <c r="U79" i="115"/>
  <c r="U70" i="115"/>
  <c r="U69" i="115"/>
  <c r="U91" i="115"/>
  <c r="U92" i="115"/>
  <c r="U58" i="115"/>
  <c r="U57" i="115"/>
  <c r="U86" i="115"/>
  <c r="U85" i="115"/>
  <c r="U76" i="115"/>
  <c r="U75" i="115"/>
  <c r="U55" i="115"/>
  <c r="U56" i="115"/>
  <c r="U50" i="115"/>
  <c r="U49" i="115"/>
  <c r="U77" i="115"/>
  <c r="U78" i="115"/>
  <c r="U89" i="115"/>
  <c r="U90" i="115"/>
  <c r="U72" i="115"/>
  <c r="U71" i="115"/>
  <c r="U61" i="115"/>
  <c r="U62" i="115"/>
  <c r="U52" i="115"/>
  <c r="U51" i="115"/>
  <c r="U52" i="110"/>
  <c r="U51" i="110"/>
  <c r="U87" i="110"/>
  <c r="U88" i="110"/>
  <c r="U93" i="110"/>
  <c r="U94" i="110"/>
  <c r="U91" i="110"/>
  <c r="U92" i="110"/>
  <c r="U67" i="110"/>
  <c r="U68" i="110"/>
  <c r="U84" i="110"/>
  <c r="U83" i="110"/>
  <c r="U65" i="110"/>
  <c r="U66" i="110"/>
  <c r="U49" i="110"/>
  <c r="U50" i="110"/>
  <c r="U77" i="110"/>
  <c r="U78" i="110"/>
  <c r="U79" i="110"/>
  <c r="U80" i="110"/>
  <c r="U53" i="110"/>
  <c r="U54" i="110"/>
  <c r="U69" i="110"/>
  <c r="U70" i="110"/>
  <c r="U76" i="110"/>
  <c r="U75" i="110"/>
  <c r="U81" i="110"/>
  <c r="U82" i="110"/>
  <c r="U63" i="110"/>
  <c r="U64" i="110"/>
  <c r="U57" i="110"/>
  <c r="U58" i="110"/>
  <c r="U85" i="110"/>
  <c r="U86" i="110"/>
  <c r="U73" i="110"/>
  <c r="U74" i="110"/>
  <c r="U55" i="110"/>
  <c r="U56" i="110"/>
  <c r="U61" i="110"/>
  <c r="U62" i="110"/>
  <c r="U59" i="110"/>
  <c r="U60" i="110"/>
  <c r="U95" i="110"/>
  <c r="U96" i="110"/>
  <c r="U89" i="110"/>
  <c r="U90" i="110"/>
  <c r="U71" i="110"/>
  <c r="U72" i="110"/>
  <c r="U77" i="107"/>
  <c r="U78" i="107"/>
  <c r="U61" i="107"/>
  <c r="U62" i="107"/>
  <c r="U64" i="107"/>
  <c r="U63" i="107"/>
  <c r="U49" i="107"/>
  <c r="U50" i="107"/>
  <c r="U75" i="107"/>
  <c r="U76" i="107"/>
  <c r="U93" i="107"/>
  <c r="U94" i="107"/>
  <c r="U85" i="107"/>
  <c r="U86" i="107"/>
  <c r="U56" i="107"/>
  <c r="U55" i="107"/>
  <c r="U89" i="107"/>
  <c r="U90" i="107"/>
  <c r="U95" i="107"/>
  <c r="U96" i="107"/>
  <c r="U92" i="107"/>
  <c r="U91" i="107"/>
  <c r="U67" i="107"/>
  <c r="U68" i="107"/>
  <c r="U79" i="107"/>
  <c r="U80" i="107"/>
  <c r="U87" i="107"/>
  <c r="U88" i="107"/>
  <c r="U81" i="107"/>
  <c r="U82" i="107"/>
  <c r="U65" i="107"/>
  <c r="U66" i="107"/>
  <c r="U83" i="107"/>
  <c r="U84" i="107"/>
  <c r="U60" i="107"/>
  <c r="U59" i="107"/>
  <c r="U69" i="107"/>
  <c r="U70" i="107"/>
  <c r="U53" i="107"/>
  <c r="U54" i="107"/>
  <c r="U73" i="107"/>
  <c r="U74" i="107"/>
  <c r="U58" i="107"/>
  <c r="U57" i="107"/>
  <c r="U71" i="107"/>
  <c r="U72" i="107"/>
  <c r="U52" i="107"/>
  <c r="U51" i="107"/>
  <c r="U80" i="104"/>
  <c r="U79" i="104"/>
  <c r="U92" i="104"/>
  <c r="U91" i="104"/>
  <c r="U57" i="104"/>
  <c r="U58" i="104"/>
  <c r="U86" i="104"/>
  <c r="U85" i="104"/>
  <c r="U75" i="104"/>
  <c r="U76" i="104"/>
  <c r="U74" i="104"/>
  <c r="U73" i="104"/>
  <c r="U55" i="104"/>
  <c r="U56" i="104"/>
  <c r="U49" i="104"/>
  <c r="U50" i="104"/>
  <c r="U77" i="104"/>
  <c r="U78" i="104"/>
  <c r="U89" i="104"/>
  <c r="U90" i="104"/>
  <c r="U72" i="104"/>
  <c r="U71" i="104"/>
  <c r="U61" i="104"/>
  <c r="U62" i="104"/>
  <c r="U52" i="104"/>
  <c r="U51" i="104"/>
  <c r="U88" i="104"/>
  <c r="U87" i="104"/>
  <c r="U82" i="104"/>
  <c r="U81" i="104"/>
  <c r="U63" i="104"/>
  <c r="U64" i="104"/>
  <c r="U68" i="104"/>
  <c r="U67" i="104"/>
  <c r="U65" i="104"/>
  <c r="U66" i="104"/>
  <c r="U93" i="104"/>
  <c r="U94" i="104"/>
  <c r="U83" i="104"/>
  <c r="U84" i="104"/>
  <c r="U60" i="104"/>
  <c r="U59" i="104"/>
  <c r="U96" i="104"/>
  <c r="U95" i="104"/>
  <c r="U54" i="104"/>
  <c r="U53" i="104"/>
  <c r="U70" i="104"/>
  <c r="U69" i="104"/>
  <c r="U64" i="99"/>
  <c r="U63" i="99"/>
  <c r="U84" i="99"/>
  <c r="U83" i="99"/>
  <c r="U90" i="99"/>
  <c r="U89" i="99"/>
  <c r="U71" i="99"/>
  <c r="U72" i="99"/>
  <c r="U92" i="99"/>
  <c r="U91" i="99"/>
  <c r="U88" i="99"/>
  <c r="U87" i="99"/>
  <c r="U95" i="99"/>
  <c r="U96" i="99"/>
  <c r="U93" i="99"/>
  <c r="U94" i="99"/>
  <c r="U68" i="99"/>
  <c r="U67" i="99"/>
  <c r="U50" i="99"/>
  <c r="U49" i="99"/>
  <c r="U61" i="99"/>
  <c r="U62" i="99"/>
  <c r="U65" i="99"/>
  <c r="U66" i="99"/>
  <c r="U74" i="99"/>
  <c r="U73" i="99"/>
  <c r="U80" i="99"/>
  <c r="U79" i="99"/>
  <c r="U54" i="99"/>
  <c r="U53" i="99"/>
  <c r="U82" i="99"/>
  <c r="U81" i="99"/>
  <c r="U70" i="99"/>
  <c r="U69" i="99"/>
  <c r="U78" i="99"/>
  <c r="U77" i="99"/>
  <c r="U52" i="99"/>
  <c r="U51" i="99"/>
  <c r="U58" i="99"/>
  <c r="U57" i="99"/>
  <c r="U86" i="99"/>
  <c r="U85" i="99"/>
  <c r="U60" i="99"/>
  <c r="U59" i="99"/>
  <c r="U55" i="99"/>
  <c r="U56" i="99"/>
  <c r="U76" i="99"/>
  <c r="U75" i="99"/>
  <c r="U79" i="45"/>
  <c r="U80" i="45"/>
  <c r="U69" i="45"/>
  <c r="U70" i="45"/>
  <c r="U81" i="45"/>
  <c r="U82" i="45"/>
  <c r="U63" i="45"/>
  <c r="U64" i="45"/>
  <c r="U67" i="45"/>
  <c r="U68" i="45"/>
  <c r="U75" i="45"/>
  <c r="U76" i="45"/>
  <c r="U73" i="45"/>
  <c r="U74" i="45"/>
  <c r="U55" i="45"/>
  <c r="U56" i="45"/>
  <c r="U59" i="45"/>
  <c r="U60" i="45"/>
  <c r="U95" i="45"/>
  <c r="U96" i="45"/>
  <c r="U53" i="45"/>
  <c r="U54" i="45"/>
  <c r="U61" i="45"/>
  <c r="U62" i="45"/>
  <c r="U51" i="45"/>
  <c r="U52" i="45"/>
  <c r="U87" i="45"/>
  <c r="U88" i="45"/>
  <c r="U91" i="45"/>
  <c r="U92" i="45"/>
  <c r="U57" i="45"/>
  <c r="U58" i="45"/>
  <c r="U85" i="45"/>
  <c r="U86" i="45"/>
  <c r="U65" i="45"/>
  <c r="U66" i="45"/>
  <c r="U93" i="45"/>
  <c r="U94" i="45"/>
  <c r="U83" i="45"/>
  <c r="U84" i="45"/>
  <c r="U49" i="45"/>
  <c r="U50" i="45"/>
  <c r="U77" i="45"/>
  <c r="U78" i="45"/>
  <c r="U89" i="45"/>
  <c r="U90" i="45"/>
  <c r="U71" i="45"/>
  <c r="U72" i="45"/>
  <c r="U73" i="44"/>
  <c r="U74" i="44"/>
  <c r="U81" i="44"/>
  <c r="U82" i="44"/>
  <c r="U57" i="44"/>
  <c r="U58" i="44"/>
  <c r="U85" i="44"/>
  <c r="U86" i="44"/>
  <c r="U64" i="44"/>
  <c r="U63" i="44"/>
  <c r="U76" i="44"/>
  <c r="U75" i="44"/>
  <c r="U52" i="44"/>
  <c r="U51" i="44"/>
  <c r="U59" i="44"/>
  <c r="U60" i="44"/>
  <c r="U89" i="44"/>
  <c r="U90" i="44"/>
  <c r="U80" i="44"/>
  <c r="U79" i="44"/>
  <c r="U88" i="44"/>
  <c r="U87" i="44"/>
  <c r="U61" i="44"/>
  <c r="U62" i="44"/>
  <c r="U84" i="44"/>
  <c r="U83" i="44"/>
  <c r="U91" i="44"/>
  <c r="U92" i="44"/>
  <c r="U68" i="44"/>
  <c r="U67" i="44"/>
  <c r="U72" i="44"/>
  <c r="U71" i="44"/>
  <c r="U56" i="44"/>
  <c r="U55" i="44"/>
  <c r="U66" i="44"/>
  <c r="U65" i="44"/>
  <c r="U93" i="44"/>
  <c r="U94" i="44"/>
  <c r="U69" i="44"/>
  <c r="U70" i="44"/>
  <c r="U78" i="44"/>
  <c r="U77" i="44"/>
  <c r="U53" i="44"/>
  <c r="U54" i="44"/>
  <c r="U96" i="44"/>
  <c r="U95" i="44"/>
  <c r="U49" i="44"/>
  <c r="U50" i="44"/>
  <c r="D102" i="43"/>
  <c r="D104" i="43"/>
  <c r="B40" i="43"/>
  <c r="A103" i="43"/>
  <c r="G102" i="43"/>
  <c r="G103" i="43" s="1"/>
  <c r="C102" i="43"/>
  <c r="E103" i="43"/>
  <c r="C104" i="43"/>
  <c r="E102" i="43"/>
  <c r="B39" i="43"/>
  <c r="D103" i="43" l="1"/>
  <c r="B103" i="43"/>
  <c r="B113" i="43"/>
  <c r="E113" i="43" s="1"/>
  <c r="B41" i="43"/>
  <c r="E106" i="43" l="1"/>
  <c r="E107" i="43"/>
</calcChain>
</file>

<file path=xl/sharedStrings.xml><?xml version="1.0" encoding="utf-8"?>
<sst xmlns="http://schemas.openxmlformats.org/spreadsheetml/2006/main" count="3245" uniqueCount="155">
  <si>
    <t>Zeit</t>
  </si>
  <si>
    <t>ln(Wert)</t>
  </si>
  <si>
    <t>x Standnorm</t>
  </si>
  <si>
    <t>x Norm</t>
  </si>
  <si>
    <t>x LogNorm</t>
  </si>
  <si>
    <t>p Norm</t>
  </si>
  <si>
    <t>p LogNorm</t>
  </si>
  <si>
    <t>Minimum</t>
  </si>
  <si>
    <t>Maximum</t>
  </si>
  <si>
    <t>Klasse</t>
  </si>
  <si>
    <t>Häufigkeit</t>
  </si>
  <si>
    <t>Anzahl</t>
  </si>
  <si>
    <t>Daten der Zeitreihe</t>
  </si>
  <si>
    <t>Histogramm</t>
  </si>
  <si>
    <t>Darstellung der Verteilungskurven</t>
  </si>
  <si>
    <t>Summe logNorm</t>
  </si>
  <si>
    <t>Zeitreihendarstellung</t>
  </si>
  <si>
    <t>Erwartungswert</t>
  </si>
  <si>
    <t>GFS/Ersatzwert</t>
  </si>
  <si>
    <t>Klassenbreite</t>
  </si>
  <si>
    <t>Angaben für die grafische Darstellung der Auslöseschwellen</t>
  </si>
  <si>
    <t>größer</t>
  </si>
  <si>
    <t>Klassen</t>
  </si>
  <si>
    <t>rel. Häufigkeit</t>
  </si>
  <si>
    <t>korrig. x-Koord.</t>
  </si>
  <si>
    <t>grobe Anpassung</t>
  </si>
  <si>
    <t>x Block</t>
  </si>
  <si>
    <t>y Block</t>
  </si>
  <si>
    <t>Q95</t>
  </si>
  <si>
    <t>Q98Log</t>
  </si>
  <si>
    <t>Angaben für die Darstellung der Quantile in der Verteilungsfunktion</t>
  </si>
  <si>
    <t>Q95u</t>
  </si>
  <si>
    <t>Q95uLog</t>
  </si>
  <si>
    <t>Messstelle:</t>
  </si>
  <si>
    <t>Wert ()</t>
  </si>
  <si>
    <t>x LogNkorr</t>
  </si>
  <si>
    <t>Transformationswert</t>
  </si>
  <si>
    <t>Korrelationskoeff.</t>
  </si>
  <si>
    <t>Ordinatendurchg.</t>
  </si>
  <si>
    <t>Steigung</t>
  </si>
  <si>
    <t>Min</t>
  </si>
  <si>
    <t>Max</t>
  </si>
  <si>
    <t>Trendberechnung</t>
  </si>
  <si>
    <t>krit. R/s</t>
  </si>
  <si>
    <t>Ausreißer vermutet</t>
  </si>
  <si>
    <t>Optimum: 0%</t>
  </si>
  <si>
    <t>Trendanalyse</t>
  </si>
  <si>
    <t>r005</t>
  </si>
  <si>
    <t>r001</t>
  </si>
  <si>
    <t>Ausreißertest</t>
  </si>
  <si>
    <t>krit. Korrelationskoeff.</t>
  </si>
  <si>
    <t>Irrtumswahrscheinl.</t>
  </si>
  <si>
    <t>&lt; 5%</t>
  </si>
  <si>
    <t>&lt;1%</t>
  </si>
  <si>
    <t>Bezugsintervall</t>
  </si>
  <si>
    <t>Angaben für die Darstellung der Hilfslinien</t>
  </si>
  <si>
    <t>AS</t>
  </si>
  <si>
    <t>Trendwert</t>
  </si>
  <si>
    <t>Residuen</t>
  </si>
  <si>
    <t>Geltungszeitraum</t>
  </si>
  <si>
    <t>Residuendiagramm</t>
  </si>
  <si>
    <t>abgesicherter Wert</t>
  </si>
  <si>
    <t>letzte Messung</t>
  </si>
  <si>
    <t>Statistische Daten der Residuenreihe</t>
  </si>
  <si>
    <t>Extrapolation</t>
  </si>
  <si>
    <t>AS Vorschlag</t>
  </si>
  <si>
    <t>gesich. Wert</t>
  </si>
  <si>
    <t>Projektionswert</t>
  </si>
  <si>
    <t>Median</t>
  </si>
  <si>
    <t>Trendwahrscheinlichkeit</t>
  </si>
  <si>
    <t>Einheit:</t>
  </si>
  <si>
    <t>mg/l</t>
  </si>
  <si>
    <t>Normalverteilung - Statistische Daten</t>
  </si>
  <si>
    <t>Mittelwert</t>
  </si>
  <si>
    <t>Log-Normalverteilung - Statistische Daten</t>
  </si>
  <si>
    <t>Standardabweichung</t>
  </si>
  <si>
    <t>95%-Quantil (oben/unten)</t>
  </si>
  <si>
    <t>98%-Quantil (oben/unten)</t>
  </si>
  <si>
    <t>Einstellungen Histogramm</t>
  </si>
  <si>
    <t>Wert</t>
  </si>
  <si>
    <t>Histogramm und Verteilungsfunktionen</t>
  </si>
  <si>
    <t>Vorschlag AS</t>
  </si>
  <si>
    <t>Trendarbeitsblatt 1</t>
  </si>
  <si>
    <t>Korrelationskoeffizient</t>
  </si>
  <si>
    <t>Ordinatendurchgang</t>
  </si>
  <si>
    <t>95%-Quantil</t>
  </si>
  <si>
    <t>98%-Quantil</t>
  </si>
  <si>
    <t>Anfang / Ende</t>
  </si>
  <si>
    <t>Fließweg An- zu Abstrom</t>
  </si>
  <si>
    <t>Fließzeit in Tagen</t>
  </si>
  <si>
    <t>Auslöseschwelle mit Trendberücksichtigung</t>
  </si>
  <si>
    <t>Trenddarstellung</t>
  </si>
  <si>
    <t>Schiefekoeffizient 1/6</t>
  </si>
  <si>
    <t>-</t>
  </si>
  <si>
    <t>Q95 No o</t>
  </si>
  <si>
    <t>Q95 No u</t>
  </si>
  <si>
    <t>Q98 No o</t>
  </si>
  <si>
    <t>Q98 No u</t>
  </si>
  <si>
    <t xml:space="preserve">95%-Quantil </t>
  </si>
  <si>
    <t>Deponie:</t>
  </si>
  <si>
    <t>Deponie</t>
  </si>
  <si>
    <t>Messstelle</t>
  </si>
  <si>
    <t>Einheit</t>
  </si>
  <si>
    <t>Stabw</t>
  </si>
  <si>
    <t>Norm95</t>
  </si>
  <si>
    <t>Norm98</t>
  </si>
  <si>
    <t>Norm01</t>
  </si>
  <si>
    <t>Norm025</t>
  </si>
  <si>
    <t>Q95o</t>
  </si>
  <si>
    <t>Q98o</t>
  </si>
  <si>
    <t>Q95Logo</t>
  </si>
  <si>
    <t>Q98u</t>
  </si>
  <si>
    <t>Q98uLog</t>
  </si>
  <si>
    <t>Q95 Lo o</t>
  </si>
  <si>
    <t>Q98 Lo o</t>
  </si>
  <si>
    <t>Arbeitsblatt pH-Wert</t>
  </si>
  <si>
    <t>Hier Zeitreihe eintragen</t>
  </si>
  <si>
    <t>Arbeitsblatt elektrische Leitfähigkeit</t>
  </si>
  <si>
    <t>Arbeitsblatt Natrium</t>
  </si>
  <si>
    <t>Arbeitsblatt Kalium</t>
  </si>
  <si>
    <t>Arbeitsblatt Magnesium</t>
  </si>
  <si>
    <t>mS/m / μS/cm</t>
  </si>
  <si>
    <t>Arbeitsblatt Nitrat-N</t>
  </si>
  <si>
    <t>Arbeitsblatt Ammonium-N</t>
  </si>
  <si>
    <t>Arbeitsblatt Calcium</t>
  </si>
  <si>
    <t>Arbeitsblatt Sulfat</t>
  </si>
  <si>
    <t>Arbeitsblatt Stickstoff gesamt</t>
  </si>
  <si>
    <t>Arbeitsblatt TOC</t>
  </si>
  <si>
    <t>Arbeitsblatt Fluorid</t>
  </si>
  <si>
    <t>Arbeitsblatt Cyanid, leicht freisetzbar</t>
  </si>
  <si>
    <t>Arbeitsblatt Bor</t>
  </si>
  <si>
    <t>Arbeitsblatt Cyanid</t>
  </si>
  <si>
    <t>μg/l</t>
  </si>
  <si>
    <t>Arbeitsblatt Kohlenwasserstoffe</t>
  </si>
  <si>
    <t>Arbeitsblatt PAK</t>
  </si>
  <si>
    <t>Arbeitsblatt AOX</t>
  </si>
  <si>
    <t>Arbeitsblatt Arsen</t>
  </si>
  <si>
    <t>Arbeitsblatt Blei</t>
  </si>
  <si>
    <t>Arbeitsblatt Cadmium</t>
  </si>
  <si>
    <t>Arbeitsblatt Chrom gesamt</t>
  </si>
  <si>
    <t>Arbeitsblatt Kupfer</t>
  </si>
  <si>
    <t>Arbeitsblatt Molybdän</t>
  </si>
  <si>
    <t>Arbeitsblatt Nickel</t>
  </si>
  <si>
    <t>Arbeitsblatt Quecksilber</t>
  </si>
  <si>
    <t>Arbeitsblatt Zink</t>
  </si>
  <si>
    <t xml:space="preserve">Arbeitsblatt: </t>
  </si>
  <si>
    <t>Trendarbeitsblatt 2</t>
  </si>
  <si>
    <t>Trendarbeitsblatt 3</t>
  </si>
  <si>
    <t>Trendarbeitsblatt 4</t>
  </si>
  <si>
    <t>Berechnungstool zur Ermittlung von Auslöseschwellen nach § 12 (1) Deponieverordnung</t>
  </si>
  <si>
    <r>
      <t>Im Auftrag des Ministeriums für Umwelt, Landwirtschaft</t>
    </r>
    <r>
      <rPr>
        <sz val="11"/>
        <rFont val="Times New Roman"/>
        <family val="1"/>
      </rPr>
      <t xml:space="preserve">, Natur- </t>
    </r>
    <r>
      <rPr>
        <sz val="11"/>
        <rFont val="Arial"/>
        <family val="2"/>
      </rPr>
      <t xml:space="preserve"> und Verbraucherschutz NRW wurde durch die Bezirksregierungen und das LANUV ein Berechnungsverfahren zur Ermittlung von Auslöseschwellen erarbeitet, das im Regelfall bei der Festlegung von Auslöseschwellen für Deponien zum Einsatz kommen soll. Das LANUV hat zur Erleichterung der Umsetzung dieses Berechnungstool entwickelt.</t>
    </r>
  </si>
  <si>
    <t>Weitere Informationen und eine ausgefüllte Beispieldatei finden Sie im Internet-Angebot des LANUV unter</t>
  </si>
  <si>
    <t>https://www.lanuv.nrw.de/umwelt/abfall/abfallverwertung-und-beseitigung/deponien/info-service/arbeitshilfe-ausloeseschwellen/</t>
  </si>
  <si>
    <t>© Landesamt für Natur, Umwelt und Verbraucherschutz NRW</t>
  </si>
  <si>
    <t>Arbeitsblatt Chlorid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</si>
</sst>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
    <numFmt numFmtId="166" formatCode="0.000"/>
    <numFmt numFmtId="167" formatCode="d/m/yyyy;@"/>
    <numFmt numFmtId="168" formatCode="0.000000"/>
  </numFmts>
  <fonts count="39" x14ac:knownFonts="1">
    <font>
      <sz val="10"/>
      <name val="Arial"/>
    </font>
    <font>
      <sz val="8"/>
      <name val="Arial"/>
      <family val="2"/>
    </font>
    <font>
      <sz val="10"/>
      <color indexed="8"/>
      <name val="Arial"/>
      <family val="2"/>
    </font>
    <font>
      <i/>
      <sz val="10"/>
      <name val="Arial"/>
      <family val="2"/>
    </font>
    <font>
      <b/>
      <sz val="10"/>
      <name val="Arial"/>
      <family val="2"/>
    </font>
    <font>
      <sz val="10"/>
      <name val="Arial"/>
      <family val="2"/>
    </font>
    <font>
      <i/>
      <sz val="10"/>
      <color indexed="60"/>
      <name val="Arial"/>
      <family val="2"/>
    </font>
    <font>
      <i/>
      <sz val="10"/>
      <color indexed="60"/>
      <name val="Arial"/>
      <family val="2"/>
    </font>
    <font>
      <i/>
      <sz val="10"/>
      <color indexed="16"/>
      <name val="Arial"/>
      <family val="2"/>
    </font>
    <font>
      <sz val="10"/>
      <color indexed="23"/>
      <name val="Arial"/>
      <family val="2"/>
    </font>
    <font>
      <i/>
      <sz val="10"/>
      <color indexed="18"/>
      <name val="Arial"/>
      <family val="2"/>
    </font>
    <font>
      <b/>
      <sz val="12"/>
      <name val="Arial"/>
      <family val="2"/>
    </font>
    <font>
      <b/>
      <sz val="12"/>
      <name val="Arial"/>
      <family val="2"/>
    </font>
    <font>
      <i/>
      <sz val="9"/>
      <color indexed="16"/>
      <name val="Arial"/>
      <family val="2"/>
    </font>
    <font>
      <sz val="12"/>
      <name val="Arial"/>
      <family val="2"/>
    </font>
    <font>
      <sz val="12"/>
      <color indexed="9"/>
      <name val="Arial"/>
      <family val="2"/>
    </font>
    <font>
      <sz val="12"/>
      <color indexed="9"/>
      <name val="Arial"/>
      <family val="2"/>
    </font>
    <font>
      <sz val="12"/>
      <name val="Arial"/>
      <family val="2"/>
    </font>
    <font>
      <i/>
      <sz val="12"/>
      <color indexed="18"/>
      <name val="Arial"/>
      <family val="2"/>
    </font>
    <font>
      <sz val="12"/>
      <color indexed="8"/>
      <name val="Arial"/>
      <family val="2"/>
    </font>
    <font>
      <sz val="11"/>
      <color indexed="22"/>
      <name val="Times New Roman"/>
      <family val="1"/>
    </font>
    <font>
      <sz val="12"/>
      <color theme="0" tint="-0.499984740745262"/>
      <name val="Arial"/>
      <family val="2"/>
    </font>
    <font>
      <sz val="10"/>
      <color theme="0" tint="-0.499984740745262"/>
      <name val="Arial"/>
      <family val="2"/>
    </font>
    <font>
      <b/>
      <sz val="16"/>
      <name val="Arial"/>
      <family val="2"/>
    </font>
    <font>
      <sz val="12"/>
      <color theme="0" tint="-0.34998626667073579"/>
      <name val="Arial"/>
      <family val="2"/>
    </font>
    <font>
      <b/>
      <sz val="10"/>
      <color theme="0" tint="-0.499984740745262"/>
      <name val="Arial"/>
      <family val="2"/>
    </font>
    <font>
      <sz val="12"/>
      <color theme="1"/>
      <name val="Arial"/>
      <family val="2"/>
    </font>
    <font>
      <b/>
      <sz val="16"/>
      <color theme="1"/>
      <name val="Arial"/>
      <family val="2"/>
    </font>
    <font>
      <b/>
      <sz val="10"/>
      <color theme="1"/>
      <name val="Arial"/>
      <family val="2"/>
    </font>
    <font>
      <b/>
      <sz val="12"/>
      <color theme="0" tint="-0.499984740745262"/>
      <name val="Arial"/>
      <family val="2"/>
    </font>
    <font>
      <sz val="12"/>
      <color theme="0"/>
      <name val="Arial"/>
      <family val="2"/>
    </font>
    <font>
      <b/>
      <sz val="12"/>
      <color theme="0"/>
      <name val="Arial"/>
      <family val="2"/>
    </font>
    <font>
      <i/>
      <sz val="12"/>
      <color theme="3" tint="0.59999389629810485"/>
      <name val="Arial"/>
      <family val="2"/>
    </font>
    <font>
      <b/>
      <sz val="12"/>
      <color theme="3" tint="0.39997558519241921"/>
      <name val="Arial"/>
      <family val="2"/>
    </font>
    <font>
      <b/>
      <sz val="14"/>
      <name val="Arial"/>
      <family val="2"/>
    </font>
    <font>
      <sz val="11"/>
      <name val="Arial"/>
      <family val="2"/>
    </font>
    <font>
      <sz val="11"/>
      <name val="Times New Roman"/>
      <family val="1"/>
    </font>
    <font>
      <u/>
      <sz val="10"/>
      <color theme="10"/>
      <name val="Arial"/>
      <family val="2"/>
    </font>
    <font>
      <u/>
      <sz val="11"/>
      <color theme="10"/>
      <name val="Arial"/>
      <family val="2"/>
    </font>
  </fonts>
  <fills count="11">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9"/>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indexed="9"/>
      </top>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bottom/>
      <diagonal/>
    </border>
    <border>
      <left style="thin">
        <color theme="0"/>
      </left>
      <right/>
      <top style="thin">
        <color indexed="9"/>
      </top>
      <bottom style="thin">
        <color theme="0"/>
      </bottom>
      <diagonal/>
    </border>
    <border>
      <left style="thin">
        <color theme="0"/>
      </left>
      <right style="thin">
        <color theme="0"/>
      </right>
      <top/>
      <bottom/>
      <diagonal/>
    </border>
    <border>
      <left style="thin">
        <color theme="0"/>
      </left>
      <right style="thin">
        <color theme="0"/>
      </right>
      <top/>
      <bottom style="thin">
        <color indexed="9"/>
      </bottom>
      <diagonal/>
    </border>
    <border>
      <left style="thin">
        <color theme="0"/>
      </left>
      <right style="thin">
        <color theme="0"/>
      </right>
      <top style="thin">
        <color indexed="9"/>
      </top>
      <bottom style="thin">
        <color indexed="9"/>
      </bottom>
      <diagonal/>
    </border>
    <border>
      <left style="thin">
        <color theme="0"/>
      </left>
      <right style="thin">
        <color theme="0"/>
      </right>
      <top style="thin">
        <color indexed="9"/>
      </top>
      <bottom/>
      <diagonal/>
    </border>
    <border>
      <left/>
      <right/>
      <top/>
      <bottom style="thin">
        <color theme="0"/>
      </bottom>
      <diagonal/>
    </border>
    <border>
      <left/>
      <right/>
      <top style="thin">
        <color theme="0"/>
      </top>
      <bottom/>
      <diagonal/>
    </border>
  </borders>
  <cellStyleXfs count="4">
    <xf numFmtId="0" fontId="0" fillId="0" borderId="0"/>
    <xf numFmtId="0" fontId="2" fillId="0" borderId="0"/>
    <xf numFmtId="0" fontId="5" fillId="0" borderId="0" applyNumberFormat="0" applyFont="0" applyFill="0" applyBorder="0" applyAlignment="0" applyProtection="0"/>
    <xf numFmtId="0" fontId="37" fillId="0" borderId="0" applyNumberFormat="0" applyFill="0" applyBorder="0" applyAlignment="0" applyProtection="0"/>
  </cellStyleXfs>
  <cellXfs count="173">
    <xf numFmtId="0" fontId="0" fillId="0" borderId="0" xfId="0"/>
    <xf numFmtId="0" fontId="0" fillId="0" borderId="0" xfId="0" applyProtection="1"/>
    <xf numFmtId="0" fontId="4" fillId="2" borderId="0" xfId="0" applyFont="1" applyFill="1" applyAlignment="1" applyProtection="1"/>
    <xf numFmtId="0" fontId="0" fillId="0" borderId="1" xfId="0" applyBorder="1" applyProtection="1"/>
    <xf numFmtId="0" fontId="14" fillId="0" borderId="0" xfId="0" applyFont="1" applyProtection="1"/>
    <xf numFmtId="0" fontId="4" fillId="0" borderId="0" xfId="0" applyFont="1" applyProtection="1"/>
    <xf numFmtId="0" fontId="8" fillId="0" borderId="0" xfId="0" applyFont="1" applyProtection="1"/>
    <xf numFmtId="166" fontId="9" fillId="0" borderId="0" xfId="0" applyNumberFormat="1" applyFont="1" applyFill="1" applyBorder="1" applyProtection="1"/>
    <xf numFmtId="0" fontId="20" fillId="0" borderId="0" xfId="0" applyFont="1" applyAlignment="1" applyProtection="1"/>
    <xf numFmtId="0" fontId="18" fillId="0" borderId="0" xfId="0" applyFont="1" applyProtection="1"/>
    <xf numFmtId="0" fontId="12" fillId="2" borderId="0" xfId="0" applyFont="1" applyFill="1" applyProtection="1"/>
    <xf numFmtId="0" fontId="0" fillId="0" borderId="0" xfId="0" applyBorder="1" applyProtection="1"/>
    <xf numFmtId="0" fontId="6" fillId="0" borderId="0" xfId="0" applyFont="1" applyBorder="1" applyProtection="1"/>
    <xf numFmtId="0" fontId="5" fillId="0" borderId="0" xfId="0" applyFont="1" applyFill="1" applyBorder="1" applyAlignment="1" applyProtection="1">
      <alignment horizontal="center"/>
    </xf>
    <xf numFmtId="0" fontId="0" fillId="0" borderId="0" xfId="0" applyFill="1" applyBorder="1" applyProtection="1"/>
    <xf numFmtId="0" fontId="0" fillId="0" borderId="0" xfId="0" applyNumberFormat="1" applyFill="1" applyBorder="1" applyAlignment="1" applyProtection="1">
      <alignment horizontal="center"/>
    </xf>
    <xf numFmtId="164" fontId="0" fillId="0" borderId="0" xfId="0" applyNumberFormat="1" applyFill="1" applyBorder="1" applyProtection="1"/>
    <xf numFmtId="0" fontId="5" fillId="0" borderId="0" xfId="0" applyFont="1"/>
    <xf numFmtId="0" fontId="0" fillId="3" borderId="0" xfId="0" applyFill="1" applyProtection="1"/>
    <xf numFmtId="0" fontId="0" fillId="4" borderId="0" xfId="0" applyFill="1" applyProtection="1"/>
    <xf numFmtId="0" fontId="21" fillId="3" borderId="0" xfId="0" applyFont="1" applyFill="1" applyBorder="1" applyAlignment="1" applyProtection="1">
      <alignment horizontal="right"/>
    </xf>
    <xf numFmtId="166" fontId="21" fillId="3" borderId="0" xfId="0" applyNumberFormat="1" applyFont="1" applyFill="1" applyBorder="1" applyAlignment="1" applyProtection="1">
      <alignment horizontal="right"/>
    </xf>
    <xf numFmtId="168" fontId="21" fillId="3" borderId="0" xfId="0" applyNumberFormat="1" applyFont="1" applyFill="1" applyBorder="1" applyAlignment="1" applyProtection="1">
      <alignment horizontal="right"/>
    </xf>
    <xf numFmtId="164" fontId="21" fillId="3" borderId="0" xfId="0" applyNumberFormat="1" applyFont="1" applyFill="1" applyBorder="1" applyAlignment="1" applyProtection="1">
      <alignment horizontal="right"/>
    </xf>
    <xf numFmtId="9" fontId="21" fillId="3" borderId="0" xfId="0" applyNumberFormat="1" applyFont="1" applyFill="1" applyBorder="1" applyAlignment="1" applyProtection="1">
      <alignment horizontal="right"/>
    </xf>
    <xf numFmtId="14" fontId="21" fillId="3" borderId="0" xfId="0" applyNumberFormat="1" applyFont="1" applyFill="1" applyBorder="1" applyProtection="1"/>
    <xf numFmtId="0" fontId="0" fillId="4" borderId="0" xfId="0" applyFill="1" applyBorder="1" applyProtection="1"/>
    <xf numFmtId="0" fontId="4" fillId="4" borderId="0" xfId="0" applyFont="1" applyFill="1" applyBorder="1" applyAlignment="1" applyProtection="1">
      <alignment horizontal="center"/>
    </xf>
    <xf numFmtId="164" fontId="22" fillId="3" borderId="0" xfId="0" applyNumberFormat="1" applyFont="1" applyFill="1" applyBorder="1" applyProtection="1"/>
    <xf numFmtId="0" fontId="17" fillId="7" borderId="1" xfId="0" applyFont="1" applyFill="1" applyBorder="1" applyAlignment="1" applyProtection="1">
      <alignment horizontal="right" vertical="top"/>
      <protection locked="0"/>
    </xf>
    <xf numFmtId="1" fontId="14" fillId="7" borderId="1" xfId="0" applyNumberFormat="1" applyFont="1" applyFill="1" applyBorder="1" applyProtection="1">
      <protection locked="0"/>
    </xf>
    <xf numFmtId="14" fontId="14" fillId="7" borderId="1" xfId="0" applyNumberFormat="1" applyFont="1" applyFill="1" applyBorder="1" applyProtection="1">
      <protection locked="0"/>
    </xf>
    <xf numFmtId="167" fontId="2" fillId="7" borderId="1" xfId="1" applyNumberFormat="1" applyFont="1" applyFill="1" applyBorder="1" applyAlignment="1" applyProtection="1">
      <alignment horizontal="right" wrapText="1"/>
      <protection locked="0"/>
    </xf>
    <xf numFmtId="2" fontId="2" fillId="7" borderId="1" xfId="1" applyNumberFormat="1" applyFont="1" applyFill="1" applyBorder="1" applyAlignment="1" applyProtection="1">
      <alignment horizontal="right" wrapText="1"/>
      <protection locked="0"/>
    </xf>
    <xf numFmtId="2" fontId="14" fillId="7" borderId="1" xfId="0" applyNumberFormat="1" applyFont="1" applyFill="1" applyBorder="1" applyProtection="1">
      <protection locked="0"/>
    </xf>
    <xf numFmtId="0" fontId="4" fillId="4" borderId="0" xfId="0" applyFont="1" applyFill="1" applyProtection="1"/>
    <xf numFmtId="0" fontId="7" fillId="4" borderId="0" xfId="0" applyFont="1" applyFill="1" applyProtection="1"/>
    <xf numFmtId="0" fontId="8" fillId="4" borderId="0" xfId="0" applyFont="1" applyFill="1" applyProtection="1"/>
    <xf numFmtId="0" fontId="13" fillId="4" borderId="0" xfId="0" applyFont="1" applyFill="1" applyProtection="1"/>
    <xf numFmtId="0" fontId="0" fillId="4" borderId="0" xfId="0" applyNumberFormat="1" applyFill="1" applyBorder="1" applyAlignment="1" applyProtection="1">
      <alignment horizontal="center"/>
    </xf>
    <xf numFmtId="164" fontId="0" fillId="4" borderId="0" xfId="0" applyNumberFormat="1" applyFill="1" applyBorder="1" applyProtection="1"/>
    <xf numFmtId="0" fontId="3" fillId="4" borderId="0" xfId="0" applyFont="1" applyFill="1" applyBorder="1" applyAlignment="1" applyProtection="1">
      <alignment horizontal="center"/>
    </xf>
    <xf numFmtId="0" fontId="0" fillId="4" borderId="0" xfId="0" applyNumberFormat="1" applyFill="1" applyBorder="1" applyAlignment="1" applyProtection="1"/>
    <xf numFmtId="0" fontId="0" fillId="4" borderId="0" xfId="0" applyFill="1" applyBorder="1" applyAlignment="1" applyProtection="1"/>
    <xf numFmtId="0" fontId="0" fillId="4" borderId="0" xfId="0" applyFill="1" applyProtection="1">
      <protection hidden="1"/>
    </xf>
    <xf numFmtId="0" fontId="0" fillId="4" borderId="0" xfId="0" applyFill="1" applyBorder="1" applyAlignment="1" applyProtection="1">
      <alignment horizontal="center"/>
    </xf>
    <xf numFmtId="0" fontId="10" fillId="4" borderId="0" xfId="0" applyFont="1" applyFill="1" applyBorder="1" applyAlignment="1" applyProtection="1">
      <alignment horizontal="center"/>
    </xf>
    <xf numFmtId="0" fontId="5" fillId="4" borderId="0" xfId="0" applyFont="1" applyFill="1" applyProtection="1"/>
    <xf numFmtId="167" fontId="2" fillId="7" borderId="2" xfId="1" applyNumberFormat="1" applyFont="1" applyFill="1" applyBorder="1" applyAlignment="1" applyProtection="1">
      <alignment horizontal="right" wrapText="1"/>
      <protection locked="0"/>
    </xf>
    <xf numFmtId="2" fontId="2" fillId="7" borderId="2" xfId="1" applyNumberFormat="1" applyFont="1" applyFill="1" applyBorder="1" applyAlignment="1" applyProtection="1">
      <alignment horizontal="right" wrapText="1"/>
      <protection locked="0"/>
    </xf>
    <xf numFmtId="0" fontId="0" fillId="3" borderId="0" xfId="0" applyFill="1" applyBorder="1" applyProtection="1"/>
    <xf numFmtId="0" fontId="7" fillId="3" borderId="0" xfId="0" applyFont="1" applyFill="1" applyBorder="1" applyProtection="1"/>
    <xf numFmtId="166" fontId="17" fillId="7" borderId="1" xfId="0" applyNumberFormat="1" applyFont="1" applyFill="1" applyBorder="1" applyAlignment="1" applyProtection="1">
      <alignment horizontal="right"/>
      <protection locked="0"/>
    </xf>
    <xf numFmtId="166" fontId="21" fillId="0" borderId="0" xfId="0" applyNumberFormat="1" applyFont="1" applyFill="1" applyBorder="1" applyAlignment="1" applyProtection="1">
      <alignment horizontal="right"/>
    </xf>
    <xf numFmtId="0" fontId="17" fillId="0" borderId="0" xfId="0" applyNumberFormat="1" applyFont="1" applyFill="1" applyBorder="1" applyProtection="1"/>
    <xf numFmtId="0" fontId="17" fillId="6" borderId="0" xfId="0" applyFont="1" applyFill="1" applyBorder="1" applyProtection="1"/>
    <xf numFmtId="167" fontId="19" fillId="7" borderId="1" xfId="1" applyNumberFormat="1" applyFont="1" applyFill="1" applyBorder="1" applyAlignment="1" applyProtection="1">
      <alignment horizontal="right" wrapText="1"/>
      <protection locked="0"/>
    </xf>
    <xf numFmtId="0" fontId="19" fillId="7" borderId="1" xfId="1" applyFont="1" applyFill="1" applyBorder="1" applyAlignment="1" applyProtection="1">
      <alignment horizontal="right" wrapText="1"/>
      <protection locked="0"/>
    </xf>
    <xf numFmtId="0" fontId="21" fillId="0" borderId="0" xfId="0" applyNumberFormat="1" applyFont="1" applyFill="1" applyBorder="1" applyProtection="1"/>
    <xf numFmtId="0" fontId="21" fillId="3" borderId="0" xfId="0" applyFont="1" applyFill="1" applyBorder="1" applyProtection="1"/>
    <xf numFmtId="0" fontId="14" fillId="3" borderId="0" xfId="0" applyFont="1" applyFill="1" applyBorder="1" applyProtection="1"/>
    <xf numFmtId="2" fontId="21" fillId="3" borderId="0" xfId="0" applyNumberFormat="1" applyFont="1" applyFill="1" applyBorder="1" applyProtection="1"/>
    <xf numFmtId="2" fontId="21" fillId="3" borderId="0" xfId="0" applyNumberFormat="1" applyFont="1" applyFill="1" applyBorder="1" applyAlignment="1" applyProtection="1">
      <alignment horizontal="right"/>
    </xf>
    <xf numFmtId="165" fontId="21" fillId="3" borderId="0" xfId="0" applyNumberFormat="1" applyFont="1" applyFill="1" applyBorder="1" applyAlignment="1" applyProtection="1">
      <alignment horizontal="right"/>
    </xf>
    <xf numFmtId="0" fontId="11" fillId="3" borderId="0" xfId="0" applyFont="1" applyFill="1" applyBorder="1" applyAlignment="1" applyProtection="1">
      <alignment horizontal="center"/>
    </xf>
    <xf numFmtId="0" fontId="15" fillId="6" borderId="7" xfId="0" applyFont="1" applyFill="1" applyBorder="1" applyProtection="1"/>
    <xf numFmtId="0" fontId="22" fillId="8" borderId="1" xfId="0" applyFont="1" applyFill="1" applyBorder="1" applyProtection="1"/>
    <xf numFmtId="14" fontId="22" fillId="8" borderId="1" xfId="0" applyNumberFormat="1" applyFont="1" applyFill="1" applyBorder="1" applyProtection="1"/>
    <xf numFmtId="0" fontId="12" fillId="2" borderId="0" xfId="0" applyFont="1" applyFill="1" applyBorder="1" applyProtection="1"/>
    <xf numFmtId="0" fontId="22" fillId="8" borderId="0" xfId="0" applyFont="1" applyFill="1" applyBorder="1" applyProtection="1"/>
    <xf numFmtId="14" fontId="22" fillId="8" borderId="0" xfId="0" applyNumberFormat="1" applyFont="1" applyFill="1" applyBorder="1" applyProtection="1"/>
    <xf numFmtId="0" fontId="0" fillId="0" borderId="0" xfId="0" applyBorder="1" applyProtection="1">
      <protection hidden="1"/>
    </xf>
    <xf numFmtId="0" fontId="22" fillId="8" borderId="0" xfId="0" applyFont="1" applyFill="1" applyBorder="1" applyProtection="1">
      <protection hidden="1"/>
    </xf>
    <xf numFmtId="0" fontId="22" fillId="3" borderId="0" xfId="0" applyFont="1" applyFill="1" applyBorder="1" applyProtection="1">
      <protection hidden="1"/>
    </xf>
    <xf numFmtId="166" fontId="0" fillId="3" borderId="0" xfId="0" applyNumberFormat="1" applyFill="1" applyBorder="1" applyProtection="1"/>
    <xf numFmtId="0" fontId="24" fillId="3" borderId="0" xfId="0" applyFont="1" applyFill="1" applyProtection="1"/>
    <xf numFmtId="0" fontId="22" fillId="3" borderId="1" xfId="0" applyFont="1" applyFill="1" applyBorder="1" applyProtection="1"/>
    <xf numFmtId="165" fontId="22" fillId="3" borderId="0" xfId="0" applyNumberFormat="1" applyFont="1" applyFill="1" applyBorder="1" applyAlignment="1" applyProtection="1">
      <alignment horizontal="right"/>
    </xf>
    <xf numFmtId="0" fontId="22" fillId="3" borderId="0" xfId="0" applyNumberFormat="1" applyFont="1" applyFill="1" applyBorder="1" applyAlignment="1" applyProtection="1"/>
    <xf numFmtId="0" fontId="22" fillId="3" borderId="0" xfId="0" applyFont="1" applyFill="1" applyBorder="1" applyProtection="1"/>
    <xf numFmtId="164" fontId="22" fillId="3" borderId="0" xfId="0" applyNumberFormat="1" applyFont="1" applyFill="1" applyBorder="1" applyAlignment="1" applyProtection="1"/>
    <xf numFmtId="166" fontId="22" fillId="3" borderId="1" xfId="0" applyNumberFormat="1" applyFont="1" applyFill="1" applyBorder="1" applyProtection="1"/>
    <xf numFmtId="166" fontId="22" fillId="3" borderId="0" xfId="0" applyNumberFormat="1" applyFont="1" applyFill="1" applyBorder="1" applyProtection="1"/>
    <xf numFmtId="0" fontId="25" fillId="2" borderId="0" xfId="0" applyFont="1" applyFill="1" applyAlignment="1" applyProtection="1"/>
    <xf numFmtId="1" fontId="22" fillId="3" borderId="0" xfId="0" applyNumberFormat="1" applyFont="1" applyFill="1" applyBorder="1" applyAlignment="1" applyProtection="1"/>
    <xf numFmtId="165" fontId="22" fillId="3" borderId="0" xfId="0" applyNumberFormat="1" applyFont="1" applyFill="1" applyBorder="1" applyProtection="1"/>
    <xf numFmtId="0" fontId="15" fillId="6" borderId="9" xfId="0" applyFont="1" applyFill="1" applyBorder="1" applyProtection="1"/>
    <xf numFmtId="0" fontId="25" fillId="3" borderId="1" xfId="0" applyFont="1" applyFill="1" applyBorder="1" applyProtection="1"/>
    <xf numFmtId="0" fontId="22" fillId="0" borderId="0" xfId="0" applyFont="1" applyProtection="1"/>
    <xf numFmtId="167" fontId="22" fillId="3" borderId="1" xfId="0" applyNumberFormat="1" applyFont="1" applyFill="1" applyBorder="1" applyProtection="1"/>
    <xf numFmtId="0" fontId="25" fillId="3" borderId="0" xfId="0" applyFont="1" applyFill="1" applyBorder="1" applyProtection="1"/>
    <xf numFmtId="0" fontId="22" fillId="0" borderId="0" xfId="0" applyFont="1" applyBorder="1" applyProtection="1"/>
    <xf numFmtId="167" fontId="22" fillId="3" borderId="0" xfId="0" applyNumberFormat="1" applyFont="1" applyFill="1" applyBorder="1" applyProtection="1"/>
    <xf numFmtId="0" fontId="12" fillId="0" borderId="0" xfId="0" applyFont="1" applyProtection="1"/>
    <xf numFmtId="0" fontId="17" fillId="3" borderId="0" xfId="0" applyFont="1" applyFill="1" applyBorder="1" applyAlignment="1" applyProtection="1">
      <alignment horizontal="right"/>
    </xf>
    <xf numFmtId="2" fontId="31" fillId="10" borderId="0" xfId="0" applyNumberFormat="1" applyFont="1" applyFill="1" applyBorder="1" applyAlignment="1" applyProtection="1">
      <alignment horizontal="right"/>
    </xf>
    <xf numFmtId="0" fontId="15" fillId="6" borderId="11" xfId="0" applyFont="1" applyFill="1" applyBorder="1" applyAlignment="1" applyProtection="1">
      <alignment horizontal="left" vertical="center"/>
    </xf>
    <xf numFmtId="0" fontId="15" fillId="6" borderId="12" xfId="0" applyFont="1" applyFill="1" applyBorder="1" applyAlignment="1" applyProtection="1">
      <alignment horizontal="left" vertical="center"/>
    </xf>
    <xf numFmtId="0" fontId="15" fillId="6" borderId="10" xfId="0" applyFont="1" applyFill="1" applyBorder="1" applyAlignment="1" applyProtection="1">
      <alignment horizontal="left" vertical="center"/>
    </xf>
    <xf numFmtId="0" fontId="15" fillId="6" borderId="13" xfId="0" applyFont="1" applyFill="1" applyBorder="1" applyAlignment="1" applyProtection="1">
      <alignment horizontal="left" vertical="center"/>
    </xf>
    <xf numFmtId="0" fontId="15" fillId="6" borderId="12" xfId="0" applyFont="1" applyFill="1" applyBorder="1" applyProtection="1"/>
    <xf numFmtId="0" fontId="15" fillId="6" borderId="11" xfId="0" applyFont="1" applyFill="1" applyBorder="1" applyProtection="1"/>
    <xf numFmtId="0" fontId="15" fillId="6" borderId="10" xfId="0" applyFont="1" applyFill="1" applyBorder="1" applyProtection="1"/>
    <xf numFmtId="0" fontId="15" fillId="6" borderId="13" xfId="0" applyFont="1" applyFill="1" applyBorder="1" applyProtection="1"/>
    <xf numFmtId="0" fontId="15" fillId="6" borderId="14" xfId="0" applyFont="1" applyFill="1" applyBorder="1" applyAlignment="1" applyProtection="1">
      <alignment horizontal="left" vertical="center"/>
    </xf>
    <xf numFmtId="0" fontId="15" fillId="6" borderId="14" xfId="0" applyFont="1" applyFill="1" applyBorder="1" applyProtection="1"/>
    <xf numFmtId="0" fontId="16" fillId="6" borderId="14" xfId="0" applyFont="1" applyFill="1" applyBorder="1" applyAlignment="1" applyProtection="1">
      <alignment horizontal="left" vertical="center"/>
    </xf>
    <xf numFmtId="0" fontId="15" fillId="6" borderId="16" xfId="0" applyFont="1" applyFill="1" applyBorder="1" applyProtection="1"/>
    <xf numFmtId="0" fontId="15" fillId="6" borderId="17" xfId="0" applyFont="1" applyFill="1" applyBorder="1" applyProtection="1"/>
    <xf numFmtId="0" fontId="15" fillId="6" borderId="18" xfId="0" applyFont="1" applyFill="1" applyBorder="1" applyProtection="1"/>
    <xf numFmtId="0" fontId="15" fillId="6" borderId="15" xfId="0" applyFont="1" applyFill="1" applyBorder="1" applyProtection="1"/>
    <xf numFmtId="0" fontId="30" fillId="10" borderId="13" xfId="0" applyFont="1" applyFill="1" applyBorder="1" applyProtection="1"/>
    <xf numFmtId="2" fontId="31" fillId="10" borderId="20" xfId="0" applyNumberFormat="1" applyFont="1" applyFill="1" applyBorder="1" applyAlignment="1" applyProtection="1">
      <alignment horizontal="right"/>
    </xf>
    <xf numFmtId="0" fontId="32" fillId="3" borderId="0" xfId="0" applyFont="1" applyFill="1" applyBorder="1" applyAlignment="1" applyProtection="1">
      <alignment horizontal="right"/>
    </xf>
    <xf numFmtId="2" fontId="32" fillId="3" borderId="0" xfId="0" applyNumberFormat="1" applyFont="1" applyFill="1" applyBorder="1" applyAlignment="1" applyProtection="1">
      <alignment horizontal="right"/>
    </xf>
    <xf numFmtId="0" fontId="33" fillId="3" borderId="0" xfId="0" applyFont="1" applyFill="1" applyBorder="1" applyAlignment="1" applyProtection="1">
      <alignment horizontal="right"/>
    </xf>
    <xf numFmtId="0" fontId="31" fillId="10" borderId="0" xfId="0" applyFont="1" applyFill="1" applyBorder="1" applyAlignment="1" applyProtection="1">
      <alignment horizontal="left" vertical="center"/>
    </xf>
    <xf numFmtId="0" fontId="30" fillId="6" borderId="7" xfId="0" applyFont="1" applyFill="1" applyBorder="1" applyAlignment="1" applyProtection="1">
      <alignment horizontal="left" vertical="center"/>
    </xf>
    <xf numFmtId="0" fontId="30" fillId="6" borderId="0" xfId="0" applyFont="1" applyFill="1" applyBorder="1" applyAlignment="1" applyProtection="1">
      <alignment horizontal="left" vertical="center"/>
    </xf>
    <xf numFmtId="0" fontId="12" fillId="4" borderId="0" xfId="0" applyFont="1" applyFill="1" applyProtection="1"/>
    <xf numFmtId="0" fontId="17" fillId="8" borderId="8" xfId="0" applyFont="1" applyFill="1" applyBorder="1" applyAlignment="1" applyProtection="1">
      <alignment horizontal="left" vertical="center"/>
    </xf>
    <xf numFmtId="0" fontId="22" fillId="8" borderId="7" xfId="0" applyFont="1" applyFill="1" applyBorder="1" applyProtection="1"/>
    <xf numFmtId="0" fontId="25" fillId="0" borderId="0" xfId="0" applyFont="1" applyProtection="1"/>
    <xf numFmtId="14" fontId="22" fillId="3" borderId="1" xfId="0" applyNumberFormat="1" applyFont="1" applyFill="1" applyBorder="1" applyProtection="1">
      <protection hidden="1"/>
    </xf>
    <xf numFmtId="164" fontId="22" fillId="3" borderId="1" xfId="0" applyNumberFormat="1" applyFont="1" applyFill="1" applyBorder="1" applyProtection="1">
      <protection hidden="1"/>
    </xf>
    <xf numFmtId="14" fontId="22" fillId="3" borderId="1" xfId="0" applyNumberFormat="1" applyFont="1" applyFill="1" applyBorder="1" applyProtection="1"/>
    <xf numFmtId="164" fontId="22" fillId="0" borderId="0" xfId="0" applyNumberFormat="1" applyFont="1" applyFill="1" applyBorder="1" applyProtection="1"/>
    <xf numFmtId="1" fontId="22" fillId="3" borderId="1" xfId="0" applyNumberFormat="1" applyFont="1" applyFill="1" applyBorder="1" applyProtection="1"/>
    <xf numFmtId="0" fontId="22" fillId="0" borderId="0" xfId="0" applyNumberFormat="1" applyFont="1" applyFill="1" applyBorder="1" applyAlignment="1" applyProtection="1">
      <alignment horizontal="center"/>
    </xf>
    <xf numFmtId="0" fontId="22" fillId="8" borderId="3" xfId="0" applyFont="1" applyFill="1" applyBorder="1" applyAlignment="1" applyProtection="1">
      <alignment horizontal="center"/>
    </xf>
    <xf numFmtId="0" fontId="30" fillId="6" borderId="9" xfId="0" applyFont="1" applyFill="1" applyBorder="1" applyAlignment="1" applyProtection="1">
      <alignment horizontal="left" vertical="center"/>
    </xf>
    <xf numFmtId="2" fontId="17" fillId="7" borderId="1" xfId="0" applyNumberFormat="1" applyFont="1" applyFill="1" applyBorder="1" applyAlignment="1" applyProtection="1">
      <alignment horizontal="right"/>
      <protection locked="0"/>
    </xf>
    <xf numFmtId="0" fontId="17" fillId="7" borderId="1" xfId="0" applyFont="1" applyFill="1" applyBorder="1" applyAlignment="1" applyProtection="1">
      <alignment horizontal="right"/>
      <protection locked="0"/>
    </xf>
    <xf numFmtId="2" fontId="26" fillId="7" borderId="1" xfId="0" applyNumberFormat="1" applyFont="1" applyFill="1" applyBorder="1" applyAlignment="1" applyProtection="1">
      <alignment horizontal="right"/>
      <protection locked="0"/>
    </xf>
    <xf numFmtId="0" fontId="17" fillId="8" borderId="0" xfId="0" applyFont="1" applyFill="1" applyBorder="1" applyProtection="1"/>
    <xf numFmtId="0" fontId="4" fillId="8" borderId="0" xfId="0" applyFont="1" applyFill="1" applyAlignment="1" applyProtection="1"/>
    <xf numFmtId="0" fontId="5" fillId="8" borderId="3" xfId="0" applyFont="1" applyFill="1" applyBorder="1" applyProtection="1"/>
    <xf numFmtId="1" fontId="22" fillId="3" borderId="0" xfId="0" applyNumberFormat="1" applyFont="1" applyFill="1" applyBorder="1" applyProtection="1"/>
    <xf numFmtId="2" fontId="22" fillId="3" borderId="0" xfId="0" applyNumberFormat="1" applyFont="1" applyFill="1" applyBorder="1" applyProtection="1"/>
    <xf numFmtId="0" fontId="34" fillId="0" borderId="0" xfId="0" applyFont="1"/>
    <xf numFmtId="0" fontId="35" fillId="0" borderId="0" xfId="0" applyFont="1" applyAlignment="1">
      <alignment vertical="top" wrapText="1"/>
    </xf>
    <xf numFmtId="0" fontId="35" fillId="0" borderId="0" xfId="0" applyFont="1" applyAlignment="1">
      <alignment vertical="top"/>
    </xf>
    <xf numFmtId="0" fontId="38" fillId="0" borderId="0" xfId="3" applyFont="1"/>
    <xf numFmtId="0" fontId="35" fillId="0" borderId="0" xfId="0" applyFont="1" applyAlignment="1">
      <alignment vertical="center"/>
    </xf>
    <xf numFmtId="0" fontId="12" fillId="6" borderId="0" xfId="0" applyFont="1" applyFill="1" applyBorder="1" applyAlignment="1" applyProtection="1"/>
    <xf numFmtId="0" fontId="27" fillId="8" borderId="0" xfId="0" applyFont="1" applyFill="1" applyBorder="1" applyAlignment="1" applyProtection="1">
      <alignment horizontal="left" vertical="center"/>
    </xf>
    <xf numFmtId="0" fontId="28" fillId="8" borderId="0" xfId="0" applyFont="1" applyFill="1" applyBorder="1" applyAlignment="1" applyProtection="1"/>
    <xf numFmtId="0" fontId="28" fillId="8" borderId="5" xfId="0" applyFont="1" applyFill="1" applyBorder="1" applyAlignment="1" applyProtection="1"/>
    <xf numFmtId="0" fontId="12" fillId="4" borderId="0" xfId="0" applyFont="1" applyFill="1" applyAlignment="1" applyProtection="1"/>
    <xf numFmtId="49" fontId="12" fillId="7" borderId="6" xfId="0" applyNumberFormat="1" applyFont="1" applyFill="1" applyBorder="1" applyAlignment="1" applyProtection="1">
      <alignment horizontal="left" vertical="center"/>
      <protection locked="0"/>
    </xf>
    <xf numFmtId="0" fontId="5" fillId="7" borderId="4" xfId="0" applyFont="1" applyFill="1" applyBorder="1" applyAlignment="1" applyProtection="1">
      <alignment horizontal="left"/>
      <protection locked="0"/>
    </xf>
    <xf numFmtId="0" fontId="12" fillId="7" borderId="6" xfId="0" applyFont="1" applyFill="1" applyBorder="1" applyAlignment="1" applyProtection="1">
      <alignment horizontal="left" vertical="center"/>
      <protection locked="0"/>
    </xf>
    <xf numFmtId="0" fontId="12" fillId="7" borderId="4" xfId="0" applyFont="1" applyFill="1" applyBorder="1" applyAlignment="1" applyProtection="1">
      <alignment horizontal="left" vertical="center"/>
      <protection locked="0"/>
    </xf>
    <xf numFmtId="0" fontId="23" fillId="8" borderId="0" xfId="0" applyFont="1" applyFill="1" applyBorder="1" applyAlignment="1" applyProtection="1">
      <alignment horizontal="left" vertical="center"/>
    </xf>
    <xf numFmtId="0" fontId="4" fillId="8" borderId="0" xfId="0" applyFont="1" applyFill="1" applyBorder="1" applyAlignment="1" applyProtection="1"/>
    <xf numFmtId="0" fontId="4" fillId="8" borderId="5" xfId="0" applyFont="1" applyFill="1" applyBorder="1" applyAlignment="1" applyProtection="1"/>
    <xf numFmtId="49" fontId="29" fillId="3" borderId="0" xfId="0" applyNumberFormat="1" applyFont="1" applyFill="1" applyBorder="1" applyAlignment="1" applyProtection="1">
      <alignment horizontal="left" vertical="center"/>
    </xf>
    <xf numFmtId="0" fontId="29" fillId="3" borderId="0" xfId="0" applyFont="1" applyFill="1" applyBorder="1" applyAlignment="1" applyProtection="1">
      <alignment horizontal="left" vertical="center"/>
    </xf>
    <xf numFmtId="0" fontId="23" fillId="9" borderId="0" xfId="0" applyFont="1" applyFill="1" applyBorder="1" applyAlignment="1" applyProtection="1">
      <alignment horizontal="left" vertical="center"/>
    </xf>
    <xf numFmtId="0" fontId="4" fillId="9" borderId="0" xfId="0" applyFont="1" applyFill="1" applyBorder="1" applyAlignment="1" applyProtection="1"/>
    <xf numFmtId="0" fontId="4" fillId="9" borderId="5" xfId="0" applyFont="1" applyFill="1" applyBorder="1" applyAlignment="1" applyProtection="1"/>
    <xf numFmtId="0" fontId="12" fillId="6" borderId="19" xfId="0" applyFont="1" applyFill="1" applyBorder="1" applyAlignment="1" applyProtection="1"/>
    <xf numFmtId="0" fontId="29" fillId="3" borderId="0" xfId="0" applyFont="1" applyFill="1" applyBorder="1" applyAlignment="1" applyProtection="1">
      <alignment horizontal="left" vertical="center"/>
      <protection locked="0"/>
    </xf>
    <xf numFmtId="49" fontId="29" fillId="3" borderId="0" xfId="0" applyNumberFormat="1" applyFont="1" applyFill="1" applyBorder="1" applyAlignment="1" applyProtection="1">
      <alignment horizontal="left" vertical="center"/>
      <protection locked="0"/>
    </xf>
    <xf numFmtId="0" fontId="12" fillId="4" borderId="20" xfId="0" applyFont="1" applyFill="1" applyBorder="1" applyAlignment="1" applyProtection="1"/>
    <xf numFmtId="0" fontId="23" fillId="7" borderId="0" xfId="0" applyFont="1" applyFill="1" applyBorder="1" applyAlignment="1" applyProtection="1">
      <alignment horizontal="left" vertical="center"/>
      <protection locked="0"/>
    </xf>
    <xf numFmtId="0" fontId="4" fillId="7" borderId="0" xfId="0" applyFont="1" applyFill="1" applyBorder="1" applyAlignment="1" applyProtection="1">
      <protection locked="0"/>
    </xf>
    <xf numFmtId="0" fontId="4" fillId="7" borderId="5" xfId="0" applyFont="1" applyFill="1" applyBorder="1" applyAlignment="1" applyProtection="1">
      <protection locked="0"/>
    </xf>
    <xf numFmtId="0" fontId="12" fillId="5" borderId="0" xfId="0" applyFont="1" applyFill="1" applyBorder="1" applyAlignment="1" applyProtection="1"/>
    <xf numFmtId="0" fontId="23" fillId="7" borderId="1" xfId="0" applyFont="1" applyFill="1" applyBorder="1" applyAlignment="1" applyProtection="1">
      <alignment horizontal="left" vertical="center"/>
      <protection locked="0"/>
    </xf>
    <xf numFmtId="49" fontId="29" fillId="4" borderId="0" xfId="0" applyNumberFormat="1" applyFont="1" applyFill="1" applyBorder="1" applyAlignment="1" applyProtection="1">
      <alignment horizontal="left" vertical="center"/>
    </xf>
    <xf numFmtId="0" fontId="22" fillId="4" borderId="0" xfId="0" applyFont="1" applyFill="1" applyBorder="1" applyAlignment="1" applyProtection="1">
      <alignment horizontal="left"/>
    </xf>
    <xf numFmtId="0" fontId="29" fillId="4" borderId="0" xfId="0" applyFont="1" applyFill="1" applyBorder="1" applyAlignment="1" applyProtection="1">
      <alignment horizontal="left" vertical="center"/>
    </xf>
  </cellXfs>
  <cellStyles count="4">
    <cellStyle name="Link" xfId="3" builtinId="8"/>
    <cellStyle name="Standard" xfId="0" builtinId="0"/>
    <cellStyle name="Standard 2" xfId="2"/>
    <cellStyle name="Standard_Anstrom Sulfat" xfId="1"/>
  </cellStyles>
  <dxfs count="0"/>
  <tableStyles count="0" defaultTableStyle="TableStyleMedium2" defaultPivotStyle="PivotStyleLight16"/>
  <colors>
    <mruColors>
      <color rgb="FFFFFFCC"/>
      <color rgb="FF0000FF"/>
      <color rgb="FFFFFF99"/>
      <color rgb="FFCC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89944134078212E-2"/>
          <c:y val="5.5555699083630651E-2"/>
          <c:w val="0.92458100558659218"/>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pH!$F$63:$F$113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pH!$G$63:$G$113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A77E-4D02-919B-14FF9EB07BAD}"/>
            </c:ext>
          </c:extLst>
        </c:ser>
        <c:ser>
          <c:idx val="2"/>
          <c:order val="1"/>
          <c:tx>
            <c:v>Histogramm</c:v>
          </c:tx>
          <c:spPr>
            <a:ln w="25400">
              <a:solidFill>
                <a:srgbClr val="969696"/>
              </a:solidFill>
              <a:prstDash val="lgDashDot"/>
            </a:ln>
          </c:spPr>
          <c:marker>
            <c:symbol val="none"/>
          </c:marker>
          <c:xVal>
            <c:numRef>
              <c:f>pH!$T$46:$T$97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pH!$U$46:$U$97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1-A77E-4D02-919B-14FF9EB07BAD}"/>
            </c:ext>
          </c:extLst>
        </c:ser>
        <c:ser>
          <c:idx val="3"/>
          <c:order val="2"/>
          <c:tx>
            <c:v>Q95o No</c:v>
          </c:tx>
          <c:spPr>
            <a:ln w="12700">
              <a:solidFill>
                <a:srgbClr val="0000FF"/>
              </a:solidFill>
              <a:prstDash val="sysDash"/>
            </a:ln>
          </c:spPr>
          <c:marker>
            <c:symbol val="none"/>
          </c:marker>
          <c:xVal>
            <c:numRef>
              <c:f>pH!$U$3:$V$3</c:f>
              <c:numCache>
                <c:formatCode>0.000</c:formatCode>
                <c:ptCount val="2"/>
                <c:pt idx="0">
                  <c:v>0</c:v>
                </c:pt>
                <c:pt idx="1">
                  <c:v>0</c:v>
                </c:pt>
              </c:numCache>
            </c:numRef>
          </c:xVal>
          <c:yVal>
            <c:numRef>
              <c:f>pH!$U$2:$V$2</c:f>
              <c:numCache>
                <c:formatCode>General</c:formatCode>
                <c:ptCount val="2"/>
                <c:pt idx="0">
                  <c:v>0</c:v>
                </c:pt>
                <c:pt idx="1">
                  <c:v>1000</c:v>
                </c:pt>
              </c:numCache>
            </c:numRef>
          </c:yVal>
          <c:smooth val="0"/>
          <c:extLst>
            <c:ext xmlns:c16="http://schemas.microsoft.com/office/drawing/2014/chart" uri="{C3380CC4-5D6E-409C-BE32-E72D297353CC}">
              <c16:uniqueId val="{00000002-A77E-4D02-919B-14FF9EB07BAD}"/>
            </c:ext>
          </c:extLst>
        </c:ser>
        <c:ser>
          <c:idx val="5"/>
          <c:order val="3"/>
          <c:tx>
            <c:v>Q98o</c:v>
          </c:tx>
          <c:spPr>
            <a:ln w="12700">
              <a:solidFill>
                <a:srgbClr val="0000FF"/>
              </a:solidFill>
              <a:prstDash val="solid"/>
            </a:ln>
          </c:spPr>
          <c:marker>
            <c:symbol val="none"/>
          </c:marker>
          <c:xVal>
            <c:numRef>
              <c:f>pH!$U$5:$V$5</c:f>
              <c:numCache>
                <c:formatCode>0.000</c:formatCode>
                <c:ptCount val="2"/>
                <c:pt idx="0">
                  <c:v>0</c:v>
                </c:pt>
                <c:pt idx="1">
                  <c:v>0</c:v>
                </c:pt>
              </c:numCache>
            </c:numRef>
          </c:xVal>
          <c:yVal>
            <c:numRef>
              <c:f>pH!$U$2:$V$2</c:f>
              <c:numCache>
                <c:formatCode>General</c:formatCode>
                <c:ptCount val="2"/>
                <c:pt idx="0">
                  <c:v>0</c:v>
                </c:pt>
                <c:pt idx="1">
                  <c:v>1000</c:v>
                </c:pt>
              </c:numCache>
            </c:numRef>
          </c:yVal>
          <c:smooth val="0"/>
          <c:extLst>
            <c:ext xmlns:c16="http://schemas.microsoft.com/office/drawing/2014/chart" uri="{C3380CC4-5D6E-409C-BE32-E72D297353CC}">
              <c16:uniqueId val="{00000003-A77E-4D02-919B-14FF9EB07BAD}"/>
            </c:ext>
          </c:extLst>
        </c:ser>
        <c:ser>
          <c:idx val="7"/>
          <c:order val="4"/>
          <c:tx>
            <c:v>Q95u Lo</c:v>
          </c:tx>
          <c:spPr>
            <a:ln w="12700">
              <a:solidFill>
                <a:srgbClr val="0000FF"/>
              </a:solidFill>
              <a:prstDash val="sysDash"/>
            </a:ln>
          </c:spPr>
          <c:marker>
            <c:symbol val="none"/>
          </c:marker>
          <c:xVal>
            <c:numRef>
              <c:f>pH!$U$8:$V$8</c:f>
              <c:numCache>
                <c:formatCode>0.000</c:formatCode>
                <c:ptCount val="2"/>
                <c:pt idx="0">
                  <c:v>0</c:v>
                </c:pt>
                <c:pt idx="1">
                  <c:v>0</c:v>
                </c:pt>
              </c:numCache>
            </c:numRef>
          </c:xVal>
          <c:yVal>
            <c:numRef>
              <c:f>pH!$U$2:$V$2</c:f>
              <c:numCache>
                <c:formatCode>General</c:formatCode>
                <c:ptCount val="2"/>
                <c:pt idx="0">
                  <c:v>0</c:v>
                </c:pt>
                <c:pt idx="1">
                  <c:v>1000</c:v>
                </c:pt>
              </c:numCache>
            </c:numRef>
          </c:yVal>
          <c:smooth val="0"/>
          <c:extLst>
            <c:ext xmlns:c16="http://schemas.microsoft.com/office/drawing/2014/chart" uri="{C3380CC4-5D6E-409C-BE32-E72D297353CC}">
              <c16:uniqueId val="{00000004-A77E-4D02-919B-14FF9EB07BAD}"/>
            </c:ext>
          </c:extLst>
        </c:ser>
        <c:ser>
          <c:idx val="8"/>
          <c:order val="5"/>
          <c:tx>
            <c:v>Q98u Lo</c:v>
          </c:tx>
          <c:spPr>
            <a:ln w="12700">
              <a:solidFill>
                <a:srgbClr val="FF00FF"/>
              </a:solidFill>
              <a:prstDash val="sysDash"/>
            </a:ln>
          </c:spPr>
          <c:marker>
            <c:symbol val="none"/>
          </c:marker>
          <c:xVal>
            <c:numRef>
              <c:f>pH!$U$10:$V$10</c:f>
              <c:numCache>
                <c:formatCode>0.000</c:formatCode>
                <c:ptCount val="2"/>
                <c:pt idx="0">
                  <c:v>0</c:v>
                </c:pt>
                <c:pt idx="1">
                  <c:v>0</c:v>
                </c:pt>
              </c:numCache>
            </c:numRef>
          </c:xVal>
          <c:yVal>
            <c:numRef>
              <c:f>pH!$U$2:$V$2</c:f>
              <c:numCache>
                <c:formatCode>General</c:formatCode>
                <c:ptCount val="2"/>
                <c:pt idx="0">
                  <c:v>0</c:v>
                </c:pt>
                <c:pt idx="1">
                  <c:v>1000</c:v>
                </c:pt>
              </c:numCache>
            </c:numRef>
          </c:yVal>
          <c:smooth val="0"/>
          <c:extLst>
            <c:ext xmlns:c16="http://schemas.microsoft.com/office/drawing/2014/chart" uri="{C3380CC4-5D6E-409C-BE32-E72D297353CC}">
              <c16:uniqueId val="{00000005-A77E-4D02-919B-14FF9EB07BAD}"/>
            </c:ext>
          </c:extLst>
        </c:ser>
        <c:ser>
          <c:idx val="9"/>
          <c:order val="6"/>
          <c:tx>
            <c:v>Median</c:v>
          </c:tx>
          <c:spPr>
            <a:ln w="12700">
              <a:solidFill>
                <a:srgbClr val="969696"/>
              </a:solidFill>
              <a:prstDash val="lgDashDotDot"/>
            </a:ln>
          </c:spPr>
          <c:marker>
            <c:symbol val="none"/>
          </c:marker>
          <c:xVal>
            <c:numRef>
              <c:f>pH!$P$9:$P$9</c:f>
              <c:numCache>
                <c:formatCode>General</c:formatCode>
                <c:ptCount val="1"/>
              </c:numCache>
            </c:numRef>
          </c:xVal>
          <c:yVal>
            <c:numRef>
              <c:f>pH!$P$2:$P$2</c:f>
              <c:numCache>
                <c:formatCode>General</c:formatCode>
                <c:ptCount val="1"/>
              </c:numCache>
            </c:numRef>
          </c:yVal>
          <c:smooth val="0"/>
          <c:extLst>
            <c:ext xmlns:c16="http://schemas.microsoft.com/office/drawing/2014/chart" uri="{C3380CC4-5D6E-409C-BE32-E72D297353CC}">
              <c16:uniqueId val="{00000006-A77E-4D02-919B-14FF9EB07BAD}"/>
            </c:ext>
          </c:extLst>
        </c:ser>
        <c:ser>
          <c:idx val="1"/>
          <c:order val="7"/>
          <c:tx>
            <c:v>Q95u</c:v>
          </c:tx>
          <c:spPr>
            <a:ln w="22225">
              <a:solidFill>
                <a:srgbClr val="0000FF"/>
              </a:solidFill>
              <a:prstDash val="sysDash"/>
            </a:ln>
          </c:spPr>
          <c:marker>
            <c:symbol val="none"/>
          </c:marker>
          <c:xVal>
            <c:numRef>
              <c:f>pH!$U$7:$V$7</c:f>
              <c:numCache>
                <c:formatCode>0.000</c:formatCode>
                <c:ptCount val="2"/>
                <c:pt idx="0">
                  <c:v>0</c:v>
                </c:pt>
                <c:pt idx="1">
                  <c:v>0</c:v>
                </c:pt>
              </c:numCache>
            </c:numRef>
          </c:xVal>
          <c:yVal>
            <c:numRef>
              <c:f>pH!$U$2:$V$2</c:f>
              <c:numCache>
                <c:formatCode>General</c:formatCode>
                <c:ptCount val="2"/>
                <c:pt idx="0">
                  <c:v>0</c:v>
                </c:pt>
                <c:pt idx="1">
                  <c:v>1000</c:v>
                </c:pt>
              </c:numCache>
            </c:numRef>
          </c:yVal>
          <c:smooth val="0"/>
          <c:extLst>
            <c:ext xmlns:c16="http://schemas.microsoft.com/office/drawing/2014/chart" uri="{C3380CC4-5D6E-409C-BE32-E72D297353CC}">
              <c16:uniqueId val="{00000007-A77E-4D02-919B-14FF9EB07BAD}"/>
            </c:ext>
          </c:extLst>
        </c:ser>
        <c:ser>
          <c:idx val="4"/>
          <c:order val="8"/>
          <c:tx>
            <c:v>Q98u</c:v>
          </c:tx>
          <c:spPr>
            <a:ln w="19050">
              <a:solidFill>
                <a:srgbClr val="0000FF"/>
              </a:solidFill>
            </a:ln>
          </c:spPr>
          <c:marker>
            <c:symbol val="none"/>
          </c:marker>
          <c:xVal>
            <c:numRef>
              <c:f>pH!$U$9:$V$9</c:f>
              <c:numCache>
                <c:formatCode>0.000</c:formatCode>
                <c:ptCount val="2"/>
                <c:pt idx="0">
                  <c:v>0</c:v>
                </c:pt>
                <c:pt idx="1">
                  <c:v>0</c:v>
                </c:pt>
              </c:numCache>
            </c:numRef>
          </c:xVal>
          <c:yVal>
            <c:numRef>
              <c:f>pH!$U$2:$V$2</c:f>
              <c:numCache>
                <c:formatCode>General</c:formatCode>
                <c:ptCount val="2"/>
                <c:pt idx="0">
                  <c:v>0</c:v>
                </c:pt>
                <c:pt idx="1">
                  <c:v>1000</c:v>
                </c:pt>
              </c:numCache>
            </c:numRef>
          </c:yVal>
          <c:smooth val="0"/>
          <c:extLst>
            <c:ext xmlns:c16="http://schemas.microsoft.com/office/drawing/2014/chart" uri="{C3380CC4-5D6E-409C-BE32-E72D297353CC}">
              <c16:uniqueId val="{00000008-A77E-4D02-919B-14FF9EB07BAD}"/>
            </c:ext>
          </c:extLst>
        </c:ser>
        <c:dLbls>
          <c:showLegendKey val="0"/>
          <c:showVal val="0"/>
          <c:showCatName val="0"/>
          <c:showSerName val="0"/>
          <c:showPercent val="0"/>
          <c:showBubbleSize val="0"/>
        </c:dLbls>
        <c:axId val="134228992"/>
        <c:axId val="134243072"/>
      </c:scatterChart>
      <c:valAx>
        <c:axId val="134228992"/>
        <c:scaling>
          <c:orientation val="minMax"/>
          <c:max val="9"/>
          <c:min val="5"/>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sz="1200" b="0" i="0" u="none" strike="noStrike" baseline="0">
                <a:solidFill>
                  <a:sysClr val="windowText" lastClr="000000"/>
                </a:solidFill>
                <a:latin typeface="Arial"/>
                <a:ea typeface="Arial"/>
                <a:cs typeface="Arial"/>
              </a:defRPr>
            </a:pPr>
            <a:endParaRPr lang="de-DE"/>
          </a:p>
        </c:txPr>
        <c:crossAx val="134243072"/>
        <c:crosses val="autoZero"/>
        <c:crossBetween val="midCat"/>
        <c:majorUnit val="1"/>
        <c:minorUnit val="1"/>
      </c:valAx>
      <c:valAx>
        <c:axId val="134243072"/>
        <c:scaling>
          <c:orientation val="minMax"/>
          <c:max val="4"/>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chemeClr val="tx1"/>
                </a:solidFill>
                <a:latin typeface="Arial"/>
                <a:ea typeface="Arial"/>
                <a:cs typeface="Arial"/>
              </a:defRPr>
            </a:pPr>
            <a:endParaRPr lang="de-DE"/>
          </a:p>
        </c:txPr>
        <c:crossAx val="134228992"/>
        <c:crosses val="autoZero"/>
        <c:crossBetween val="midCat"/>
        <c:majorUnit val="1"/>
        <c:minorUnit val="0.05"/>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139901210050542E-2"/>
          <c:y val="7.5000091552846135E-2"/>
          <c:w val="0.89230830167470343"/>
          <c:h val="0.8125009918224998"/>
        </c:manualLayout>
      </c:layout>
      <c:scatterChart>
        <c:scatterStyle val="lineMarker"/>
        <c:varyColors val="0"/>
        <c:ser>
          <c:idx val="0"/>
          <c:order val="0"/>
          <c:tx>
            <c:v>Zeitreihe</c:v>
          </c:tx>
          <c:spPr>
            <a:ln w="25400">
              <a:solidFill>
                <a:srgbClr val="000000"/>
              </a:solidFill>
              <a:prstDash val="solid"/>
            </a:ln>
          </c:spPr>
          <c:marker>
            <c:symbol val="none"/>
          </c:marker>
          <c:xVal>
            <c:numRef>
              <c:f>pH!$M$3:$M$252</c:f>
              <c:numCache>
                <c:formatCode>d/m/yyyy;@</c:formatCode>
                <c:ptCount val="250"/>
              </c:numCache>
            </c:numRef>
          </c:xVal>
          <c:yVal>
            <c:numRef>
              <c:f>pH!$N$3:$N$252</c:f>
              <c:numCache>
                <c:formatCode>General</c:formatCode>
                <c:ptCount val="250"/>
              </c:numCache>
            </c:numRef>
          </c:yVal>
          <c:smooth val="0"/>
          <c:extLst>
            <c:ext xmlns:c16="http://schemas.microsoft.com/office/drawing/2014/chart" uri="{C3380CC4-5D6E-409C-BE32-E72D297353CC}">
              <c16:uniqueId val="{00000000-20CF-478B-982C-112269075BC4}"/>
            </c:ext>
          </c:extLst>
        </c:ser>
        <c:ser>
          <c:idx val="1"/>
          <c:order val="1"/>
          <c:tx>
            <c:v>Q95</c:v>
          </c:tx>
          <c:spPr>
            <a:ln w="12700">
              <a:solidFill>
                <a:srgbClr val="0000FF"/>
              </a:solidFill>
              <a:prstDash val="sysDash"/>
            </a:ln>
          </c:spPr>
          <c:marker>
            <c:symbol val="none"/>
          </c:marker>
          <c:xVal>
            <c:numRef>
              <c:f>pH!$E$57:$E$58</c:f>
              <c:numCache>
                <c:formatCode>m/d/yyyy</c:formatCode>
                <c:ptCount val="2"/>
                <c:pt idx="0">
                  <c:v>36161</c:v>
                </c:pt>
                <c:pt idx="1">
                  <c:v>51501</c:v>
                </c:pt>
              </c:numCache>
            </c:numRef>
          </c:xVal>
          <c:yVal>
            <c:numRef>
              <c:f>pH!$F$57:$F$58</c:f>
              <c:numCache>
                <c:formatCode>0.000</c:formatCode>
                <c:ptCount val="2"/>
                <c:pt idx="0">
                  <c:v>0</c:v>
                </c:pt>
                <c:pt idx="1">
                  <c:v>0</c:v>
                </c:pt>
              </c:numCache>
            </c:numRef>
          </c:yVal>
          <c:smooth val="0"/>
          <c:extLst>
            <c:ext xmlns:c16="http://schemas.microsoft.com/office/drawing/2014/chart" uri="{C3380CC4-5D6E-409C-BE32-E72D297353CC}">
              <c16:uniqueId val="{00000001-20CF-478B-982C-112269075BC4}"/>
            </c:ext>
          </c:extLst>
        </c:ser>
        <c:ser>
          <c:idx val="9"/>
          <c:order val="2"/>
          <c:tx>
            <c:v>vT</c:v>
          </c:tx>
          <c:spPr>
            <a:ln w="12700">
              <a:solidFill>
                <a:srgbClr val="808080"/>
              </a:solidFill>
              <a:prstDash val="sysDash"/>
            </a:ln>
          </c:spPr>
          <c:marker>
            <c:symbol val="none"/>
          </c:marker>
          <c:xVal>
            <c:numRef>
              <c:f>pH!$G$122:$G$123</c:f>
              <c:numCache>
                <c:formatCode>d/m/yyyy;@</c:formatCode>
                <c:ptCount val="2"/>
                <c:pt idx="0">
                  <c:v>0</c:v>
                </c:pt>
                <c:pt idx="1">
                  <c:v>0</c:v>
                </c:pt>
              </c:numCache>
            </c:numRef>
          </c:xVal>
          <c:yVal>
            <c:numRef>
              <c:f>pH!$I$122:$I$123</c:f>
              <c:numCache>
                <c:formatCode>General</c:formatCode>
                <c:ptCount val="2"/>
                <c:pt idx="0">
                  <c:v>0</c:v>
                </c:pt>
                <c:pt idx="1">
                  <c:v>0</c:v>
                </c:pt>
              </c:numCache>
            </c:numRef>
          </c:yVal>
          <c:smooth val="0"/>
          <c:extLst>
            <c:ext xmlns:c16="http://schemas.microsoft.com/office/drawing/2014/chart" uri="{C3380CC4-5D6E-409C-BE32-E72D297353CC}">
              <c16:uniqueId val="{00000002-20CF-478B-982C-112269075BC4}"/>
            </c:ext>
          </c:extLst>
        </c:ser>
        <c:ser>
          <c:idx val="10"/>
          <c:order val="3"/>
          <c:tx>
            <c:v>Trend</c:v>
          </c:tx>
          <c:spPr>
            <a:ln w="12700">
              <a:solidFill>
                <a:srgbClr val="808080"/>
              </a:solidFill>
              <a:prstDash val="solid"/>
            </a:ln>
          </c:spPr>
          <c:marker>
            <c:symbol val="none"/>
          </c:marker>
          <c:xVal>
            <c:numRef>
              <c:f>pH!$G$122:$G$123</c:f>
              <c:numCache>
                <c:formatCode>d/m/yyyy;@</c:formatCode>
                <c:ptCount val="2"/>
                <c:pt idx="0">
                  <c:v>0</c:v>
                </c:pt>
                <c:pt idx="1">
                  <c:v>0</c:v>
                </c:pt>
              </c:numCache>
            </c:numRef>
          </c:xVal>
          <c:yVal>
            <c:numRef>
              <c:f>pH!$J$122:$J$123</c:f>
              <c:numCache>
                <c:formatCode>General</c:formatCode>
                <c:ptCount val="2"/>
                <c:pt idx="0">
                  <c:v>0</c:v>
                </c:pt>
                <c:pt idx="1">
                  <c:v>0</c:v>
                </c:pt>
              </c:numCache>
            </c:numRef>
          </c:yVal>
          <c:smooth val="0"/>
          <c:extLst>
            <c:ext xmlns:c16="http://schemas.microsoft.com/office/drawing/2014/chart" uri="{C3380CC4-5D6E-409C-BE32-E72D297353CC}">
              <c16:uniqueId val="{00000003-20CF-478B-982C-112269075BC4}"/>
            </c:ext>
          </c:extLst>
        </c:ser>
        <c:ser>
          <c:idx val="2"/>
          <c:order val="4"/>
          <c:tx>
            <c:v>Q95u</c:v>
          </c:tx>
          <c:spPr>
            <a:ln w="12700">
              <a:solidFill>
                <a:srgbClr val="0000FF"/>
              </a:solidFill>
              <a:prstDash val="sysDash"/>
            </a:ln>
          </c:spPr>
          <c:marker>
            <c:symbol val="none"/>
          </c:marker>
          <c:xVal>
            <c:numRef>
              <c:f>pH!$E$57:$E$58</c:f>
              <c:numCache>
                <c:formatCode>m/d/yyyy</c:formatCode>
                <c:ptCount val="2"/>
                <c:pt idx="0">
                  <c:v>36161</c:v>
                </c:pt>
                <c:pt idx="1">
                  <c:v>51501</c:v>
                </c:pt>
              </c:numCache>
            </c:numRef>
          </c:xVal>
          <c:yVal>
            <c:numRef>
              <c:f>pH!$G$57:$G$58</c:f>
              <c:numCache>
                <c:formatCode>0.000</c:formatCode>
                <c:ptCount val="2"/>
                <c:pt idx="0">
                  <c:v>0</c:v>
                </c:pt>
                <c:pt idx="1">
                  <c:v>0</c:v>
                </c:pt>
              </c:numCache>
            </c:numRef>
          </c:yVal>
          <c:smooth val="0"/>
          <c:extLst>
            <c:ext xmlns:c16="http://schemas.microsoft.com/office/drawing/2014/chart" uri="{C3380CC4-5D6E-409C-BE32-E72D297353CC}">
              <c16:uniqueId val="{00000004-20CF-478B-982C-112269075BC4}"/>
            </c:ext>
          </c:extLst>
        </c:ser>
        <c:ser>
          <c:idx val="3"/>
          <c:order val="5"/>
          <c:tx>
            <c:v>Q98</c:v>
          </c:tx>
          <c:spPr>
            <a:ln w="22225">
              <a:solidFill>
                <a:srgbClr val="0000FF"/>
              </a:solidFill>
            </a:ln>
          </c:spPr>
          <c:marker>
            <c:symbol val="none"/>
          </c:marker>
          <c:xVal>
            <c:numRef>
              <c:f>pH!$E$57:$E$58</c:f>
              <c:numCache>
                <c:formatCode>m/d/yyyy</c:formatCode>
                <c:ptCount val="2"/>
                <c:pt idx="0">
                  <c:v>36161</c:v>
                </c:pt>
                <c:pt idx="1">
                  <c:v>51501</c:v>
                </c:pt>
              </c:numCache>
            </c:numRef>
          </c:xVal>
          <c:yVal>
            <c:numRef>
              <c:f>pH!$H$57:$H$58</c:f>
              <c:numCache>
                <c:formatCode>0.000</c:formatCode>
                <c:ptCount val="2"/>
                <c:pt idx="0">
                  <c:v>0</c:v>
                </c:pt>
                <c:pt idx="1">
                  <c:v>0</c:v>
                </c:pt>
              </c:numCache>
            </c:numRef>
          </c:yVal>
          <c:smooth val="0"/>
          <c:extLst>
            <c:ext xmlns:c16="http://schemas.microsoft.com/office/drawing/2014/chart" uri="{C3380CC4-5D6E-409C-BE32-E72D297353CC}">
              <c16:uniqueId val="{00000005-20CF-478B-982C-112269075BC4}"/>
            </c:ext>
          </c:extLst>
        </c:ser>
        <c:ser>
          <c:idx val="4"/>
          <c:order val="6"/>
          <c:tx>
            <c:v>Q98 u</c:v>
          </c:tx>
          <c:spPr>
            <a:ln w="12700">
              <a:solidFill>
                <a:srgbClr val="0000FF"/>
              </a:solidFill>
            </a:ln>
          </c:spPr>
          <c:marker>
            <c:symbol val="none"/>
          </c:marker>
          <c:xVal>
            <c:numRef>
              <c:f>pH!$E$57:$E$58</c:f>
              <c:numCache>
                <c:formatCode>m/d/yyyy</c:formatCode>
                <c:ptCount val="2"/>
                <c:pt idx="0">
                  <c:v>36161</c:v>
                </c:pt>
                <c:pt idx="1">
                  <c:v>51501</c:v>
                </c:pt>
              </c:numCache>
            </c:numRef>
          </c:xVal>
          <c:yVal>
            <c:numRef>
              <c:f>pH!$I$57:$I$58</c:f>
              <c:numCache>
                <c:formatCode>0.000</c:formatCode>
                <c:ptCount val="2"/>
                <c:pt idx="0">
                  <c:v>0</c:v>
                </c:pt>
                <c:pt idx="1">
                  <c:v>0</c:v>
                </c:pt>
              </c:numCache>
            </c:numRef>
          </c:yVal>
          <c:smooth val="0"/>
          <c:extLst>
            <c:ext xmlns:c16="http://schemas.microsoft.com/office/drawing/2014/chart" uri="{C3380CC4-5D6E-409C-BE32-E72D297353CC}">
              <c16:uniqueId val="{00000006-20CF-478B-982C-112269075BC4}"/>
            </c:ext>
          </c:extLst>
        </c:ser>
        <c:dLbls>
          <c:showLegendKey val="0"/>
          <c:showVal val="0"/>
          <c:showCatName val="0"/>
          <c:showSerName val="0"/>
          <c:showPercent val="0"/>
          <c:showBubbleSize val="0"/>
        </c:dLbls>
        <c:axId val="134161152"/>
        <c:axId val="134162688"/>
      </c:scatterChart>
      <c:valAx>
        <c:axId val="134161152"/>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200" b="0" i="0" u="none" strike="noStrike" baseline="0">
                <a:solidFill>
                  <a:schemeClr val="tx1"/>
                </a:solidFill>
                <a:latin typeface="Arial"/>
                <a:ea typeface="Arial"/>
                <a:cs typeface="Arial"/>
              </a:defRPr>
            </a:pPr>
            <a:endParaRPr lang="de-DE"/>
          </a:p>
        </c:txPr>
        <c:crossAx val="134162688"/>
        <c:crossesAt val="0"/>
        <c:crossBetween val="midCat"/>
        <c:majorUnit val="1461"/>
        <c:minorUnit val="365.25"/>
      </c:valAx>
      <c:valAx>
        <c:axId val="134162688"/>
        <c:scaling>
          <c:orientation val="minMax"/>
          <c:max val="5"/>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200" b="0" i="0" u="none" strike="noStrike" baseline="0">
                <a:solidFill>
                  <a:schemeClr val="tx1"/>
                </a:solidFill>
                <a:latin typeface="Arial"/>
                <a:ea typeface="Arial"/>
                <a:cs typeface="Arial"/>
              </a:defRPr>
            </a:pPr>
            <a:endParaRPr lang="de-DE"/>
          </a:p>
        </c:txPr>
        <c:crossAx val="134161152"/>
        <c:crossesAt val="0"/>
        <c:crossBetween val="midCat"/>
        <c:majorUnit val="1"/>
        <c:minorUnit val="1"/>
      </c:valAx>
      <c:spPr>
        <a:solidFill>
          <a:srgbClr val="FFFFFF"/>
        </a:solidFill>
        <a:ln w="12700">
          <a:solidFill>
            <a:srgbClr val="808080"/>
          </a:solidFill>
          <a:prstDash val="solid"/>
        </a:ln>
      </c:spPr>
    </c:plotArea>
    <c:legend>
      <c:legendPos val="r"/>
      <c:legendEntry>
        <c:idx val="0"/>
        <c:delete val="1"/>
      </c:legendEntry>
      <c:legendEntry>
        <c:idx val="2"/>
        <c:delete val="1"/>
      </c:legendEntry>
      <c:legendEntry>
        <c:idx val="4"/>
        <c:delete val="1"/>
      </c:legendEntry>
      <c:legendEntry>
        <c:idx val="6"/>
        <c:delete val="1"/>
      </c:legendEntry>
      <c:layout>
        <c:manualLayout>
          <c:xMode val="edge"/>
          <c:yMode val="edge"/>
          <c:x val="0.78741312514554551"/>
          <c:y val="3.0000036621138454E-2"/>
          <c:w val="0.12535081976805848"/>
          <c:h val="0.2422267716535433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eLF!$F$63:$F$113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eLF!$G$63:$G$113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E834-4422-95EB-BE644CA52270}"/>
            </c:ext>
          </c:extLst>
        </c:ser>
        <c:ser>
          <c:idx val="1"/>
          <c:order val="1"/>
          <c:tx>
            <c:v>LogNormalverteilung</c:v>
          </c:tx>
          <c:spPr>
            <a:ln w="25400">
              <a:solidFill>
                <a:srgbClr val="FF00FF"/>
              </a:solidFill>
              <a:prstDash val="solid"/>
            </a:ln>
          </c:spPr>
          <c:marker>
            <c:symbol val="none"/>
          </c:marker>
          <c:xVal>
            <c:numRef>
              <c:f>eLF!$I$63:$I$113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eLF!$J$63:$J$113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E834-4422-95EB-BE644CA52270}"/>
            </c:ext>
          </c:extLst>
        </c:ser>
        <c:ser>
          <c:idx val="2"/>
          <c:order val="2"/>
          <c:tx>
            <c:v>Histogramm</c:v>
          </c:tx>
          <c:spPr>
            <a:ln w="25400">
              <a:solidFill>
                <a:srgbClr val="969696"/>
              </a:solidFill>
              <a:prstDash val="lgDashDot"/>
            </a:ln>
          </c:spPr>
          <c:marker>
            <c:symbol val="none"/>
          </c:marker>
          <c:xVal>
            <c:numRef>
              <c:f>eLF!$T$46:$T$97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eLF!$U$46:$U$97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E834-4422-95EB-BE644CA52270}"/>
            </c:ext>
          </c:extLst>
        </c:ser>
        <c:ser>
          <c:idx val="3"/>
          <c:order val="3"/>
          <c:tx>
            <c:v>Q95 No</c:v>
          </c:tx>
          <c:spPr>
            <a:ln w="12700">
              <a:solidFill>
                <a:srgbClr val="0000FF"/>
              </a:solidFill>
              <a:prstDash val="sysDash"/>
            </a:ln>
          </c:spPr>
          <c:marker>
            <c:symbol val="none"/>
          </c:marker>
          <c:xVal>
            <c:numRef>
              <c:f>eLF!$U$3:$V$3</c:f>
              <c:numCache>
                <c:formatCode>0.000</c:formatCode>
                <c:ptCount val="2"/>
                <c:pt idx="0">
                  <c:v>0</c:v>
                </c:pt>
                <c:pt idx="1">
                  <c:v>0</c:v>
                </c:pt>
              </c:numCache>
            </c:numRef>
          </c:xVal>
          <c:yVal>
            <c:numRef>
              <c:f>eLF!$U$2:$V$2</c:f>
              <c:numCache>
                <c:formatCode>General</c:formatCode>
                <c:ptCount val="2"/>
                <c:pt idx="0">
                  <c:v>0</c:v>
                </c:pt>
                <c:pt idx="1">
                  <c:v>1000</c:v>
                </c:pt>
              </c:numCache>
            </c:numRef>
          </c:yVal>
          <c:smooth val="0"/>
          <c:extLst>
            <c:ext xmlns:c16="http://schemas.microsoft.com/office/drawing/2014/chart" uri="{C3380CC4-5D6E-409C-BE32-E72D297353CC}">
              <c16:uniqueId val="{00000003-E834-4422-95EB-BE644CA52270}"/>
            </c:ext>
          </c:extLst>
        </c:ser>
        <c:ser>
          <c:idx val="4"/>
          <c:order val="4"/>
          <c:tx>
            <c:v>Q95 Lo</c:v>
          </c:tx>
          <c:spPr>
            <a:ln w="12700">
              <a:solidFill>
                <a:srgbClr val="FF00FF"/>
              </a:solidFill>
              <a:prstDash val="sysDash"/>
            </a:ln>
          </c:spPr>
          <c:marker>
            <c:symbol val="none"/>
          </c:marker>
          <c:xVal>
            <c:numRef>
              <c:f>eLF!$U$4:$V$4</c:f>
              <c:numCache>
                <c:formatCode>0.000</c:formatCode>
                <c:ptCount val="2"/>
                <c:pt idx="0">
                  <c:v>0</c:v>
                </c:pt>
                <c:pt idx="1">
                  <c:v>0</c:v>
                </c:pt>
              </c:numCache>
            </c:numRef>
          </c:xVal>
          <c:yVal>
            <c:numRef>
              <c:f>eLF!$U$2:$V$2</c:f>
              <c:numCache>
                <c:formatCode>General</c:formatCode>
                <c:ptCount val="2"/>
                <c:pt idx="0">
                  <c:v>0</c:v>
                </c:pt>
                <c:pt idx="1">
                  <c:v>1000</c:v>
                </c:pt>
              </c:numCache>
            </c:numRef>
          </c:yVal>
          <c:smooth val="0"/>
          <c:extLst>
            <c:ext xmlns:c16="http://schemas.microsoft.com/office/drawing/2014/chart" uri="{C3380CC4-5D6E-409C-BE32-E72D297353CC}">
              <c16:uniqueId val="{00000004-E834-4422-95EB-BE644CA52270}"/>
            </c:ext>
          </c:extLst>
        </c:ser>
        <c:ser>
          <c:idx val="5"/>
          <c:order val="5"/>
          <c:tx>
            <c:v>Q98 No</c:v>
          </c:tx>
          <c:spPr>
            <a:ln w="12700">
              <a:solidFill>
                <a:srgbClr val="0000FF"/>
              </a:solidFill>
              <a:prstDash val="solid"/>
            </a:ln>
          </c:spPr>
          <c:marker>
            <c:symbol val="none"/>
          </c:marker>
          <c:xVal>
            <c:numRef>
              <c:f>eLF!$U$5:$V$5</c:f>
              <c:numCache>
                <c:formatCode>0.000</c:formatCode>
                <c:ptCount val="2"/>
                <c:pt idx="0">
                  <c:v>0</c:v>
                </c:pt>
                <c:pt idx="1">
                  <c:v>0</c:v>
                </c:pt>
              </c:numCache>
            </c:numRef>
          </c:xVal>
          <c:yVal>
            <c:numRef>
              <c:f>eLF!$U$2:$V$2</c:f>
              <c:numCache>
                <c:formatCode>General</c:formatCode>
                <c:ptCount val="2"/>
                <c:pt idx="0">
                  <c:v>0</c:v>
                </c:pt>
                <c:pt idx="1">
                  <c:v>1000</c:v>
                </c:pt>
              </c:numCache>
            </c:numRef>
          </c:yVal>
          <c:smooth val="0"/>
          <c:extLst>
            <c:ext xmlns:c16="http://schemas.microsoft.com/office/drawing/2014/chart" uri="{C3380CC4-5D6E-409C-BE32-E72D297353CC}">
              <c16:uniqueId val="{00000005-E834-4422-95EB-BE644CA52270}"/>
            </c:ext>
          </c:extLst>
        </c:ser>
        <c:ser>
          <c:idx val="6"/>
          <c:order val="6"/>
          <c:tx>
            <c:v>Q98 Lo</c:v>
          </c:tx>
          <c:spPr>
            <a:ln w="12700">
              <a:solidFill>
                <a:srgbClr val="FF00FF"/>
              </a:solidFill>
              <a:prstDash val="solid"/>
            </a:ln>
          </c:spPr>
          <c:marker>
            <c:symbol val="none"/>
          </c:marker>
          <c:xVal>
            <c:numRef>
              <c:f>eLF!$U$6:$V$6</c:f>
              <c:numCache>
                <c:formatCode>0.000</c:formatCode>
                <c:ptCount val="2"/>
                <c:pt idx="0">
                  <c:v>0</c:v>
                </c:pt>
                <c:pt idx="1">
                  <c:v>0</c:v>
                </c:pt>
              </c:numCache>
            </c:numRef>
          </c:xVal>
          <c:yVal>
            <c:numRef>
              <c:f>eLF!$U$2:$V$2</c:f>
              <c:numCache>
                <c:formatCode>General</c:formatCode>
                <c:ptCount val="2"/>
                <c:pt idx="0">
                  <c:v>0</c:v>
                </c:pt>
                <c:pt idx="1">
                  <c:v>1000</c:v>
                </c:pt>
              </c:numCache>
            </c:numRef>
          </c:yVal>
          <c:smooth val="0"/>
          <c:extLst>
            <c:ext xmlns:c16="http://schemas.microsoft.com/office/drawing/2014/chart" uri="{C3380CC4-5D6E-409C-BE32-E72D297353CC}">
              <c16:uniqueId val="{00000006-E834-4422-95EB-BE644CA52270}"/>
            </c:ext>
          </c:extLst>
        </c:ser>
        <c:ser>
          <c:idx val="7"/>
          <c:order val="7"/>
          <c:tx>
            <c:v>Q95u</c:v>
          </c:tx>
          <c:spPr>
            <a:ln w="12700">
              <a:solidFill>
                <a:srgbClr val="0000FF"/>
              </a:solidFill>
              <a:prstDash val="sysDash"/>
            </a:ln>
          </c:spPr>
          <c:marker>
            <c:symbol val="none"/>
          </c:marker>
          <c:xVal>
            <c:numRef>
              <c:f>eLF!$U$7:$V$7</c:f>
              <c:numCache>
                <c:formatCode>0.000</c:formatCode>
                <c:ptCount val="2"/>
                <c:pt idx="0">
                  <c:v>0</c:v>
                </c:pt>
                <c:pt idx="1">
                  <c:v>0</c:v>
                </c:pt>
              </c:numCache>
            </c:numRef>
          </c:xVal>
          <c:yVal>
            <c:numRef>
              <c:f>eLF!$U$2:$V$2</c:f>
              <c:numCache>
                <c:formatCode>General</c:formatCode>
                <c:ptCount val="2"/>
                <c:pt idx="0">
                  <c:v>0</c:v>
                </c:pt>
                <c:pt idx="1">
                  <c:v>1000</c:v>
                </c:pt>
              </c:numCache>
            </c:numRef>
          </c:yVal>
          <c:smooth val="0"/>
          <c:extLst>
            <c:ext xmlns:c16="http://schemas.microsoft.com/office/drawing/2014/chart" uri="{C3380CC4-5D6E-409C-BE32-E72D297353CC}">
              <c16:uniqueId val="{00000007-E834-4422-95EB-BE644CA52270}"/>
            </c:ext>
          </c:extLst>
        </c:ser>
        <c:ser>
          <c:idx val="8"/>
          <c:order val="8"/>
          <c:tx>
            <c:v>Q95u Lo</c:v>
          </c:tx>
          <c:spPr>
            <a:ln w="12700">
              <a:solidFill>
                <a:srgbClr val="FF00FF"/>
              </a:solidFill>
              <a:prstDash val="sysDash"/>
            </a:ln>
          </c:spPr>
          <c:marker>
            <c:symbol val="none"/>
          </c:marker>
          <c:xVal>
            <c:numRef>
              <c:f>eLF!$U$8:$V$8</c:f>
              <c:numCache>
                <c:formatCode>0.000</c:formatCode>
                <c:ptCount val="2"/>
                <c:pt idx="0">
                  <c:v>0</c:v>
                </c:pt>
                <c:pt idx="1">
                  <c:v>0</c:v>
                </c:pt>
              </c:numCache>
            </c:numRef>
          </c:xVal>
          <c:yVal>
            <c:numRef>
              <c:f>eLF!$U$2:$V$2</c:f>
              <c:numCache>
                <c:formatCode>General</c:formatCode>
                <c:ptCount val="2"/>
                <c:pt idx="0">
                  <c:v>0</c:v>
                </c:pt>
                <c:pt idx="1">
                  <c:v>1000</c:v>
                </c:pt>
              </c:numCache>
            </c:numRef>
          </c:yVal>
          <c:smooth val="0"/>
          <c:extLst>
            <c:ext xmlns:c16="http://schemas.microsoft.com/office/drawing/2014/chart" uri="{C3380CC4-5D6E-409C-BE32-E72D297353CC}">
              <c16:uniqueId val="{00000008-E834-4422-95EB-BE644CA52270}"/>
            </c:ext>
          </c:extLst>
        </c:ser>
        <c:ser>
          <c:idx val="9"/>
          <c:order val="9"/>
          <c:tx>
            <c:v>Median</c:v>
          </c:tx>
          <c:spPr>
            <a:ln w="12700">
              <a:solidFill>
                <a:srgbClr val="969696"/>
              </a:solidFill>
              <a:prstDash val="lgDashDotDot"/>
            </a:ln>
          </c:spPr>
          <c:marker>
            <c:symbol val="none"/>
          </c:marker>
          <c:xVal>
            <c:numRef>
              <c:f>eLF!$U$11:$V$11</c:f>
              <c:numCache>
                <c:formatCode>0.000</c:formatCode>
                <c:ptCount val="2"/>
                <c:pt idx="0">
                  <c:v>0</c:v>
                </c:pt>
                <c:pt idx="1">
                  <c:v>0</c:v>
                </c:pt>
              </c:numCache>
            </c:numRef>
          </c:xVal>
          <c:yVal>
            <c:numRef>
              <c:f>eLF!$U$2:$V$2</c:f>
              <c:numCache>
                <c:formatCode>General</c:formatCode>
                <c:ptCount val="2"/>
                <c:pt idx="0">
                  <c:v>0</c:v>
                </c:pt>
                <c:pt idx="1">
                  <c:v>1000</c:v>
                </c:pt>
              </c:numCache>
            </c:numRef>
          </c:yVal>
          <c:smooth val="0"/>
          <c:extLst>
            <c:ext xmlns:c16="http://schemas.microsoft.com/office/drawing/2014/chart" uri="{C3380CC4-5D6E-409C-BE32-E72D297353CC}">
              <c16:uniqueId val="{00000009-E834-4422-95EB-BE644CA52270}"/>
            </c:ext>
          </c:extLst>
        </c:ser>
        <c:dLbls>
          <c:showLegendKey val="0"/>
          <c:showVal val="0"/>
          <c:showCatName val="0"/>
          <c:showSerName val="0"/>
          <c:showPercent val="0"/>
          <c:showBubbleSize val="0"/>
        </c:dLbls>
        <c:axId val="136717440"/>
        <c:axId val="136718976"/>
      </c:scatterChart>
      <c:valAx>
        <c:axId val="136717440"/>
        <c:scaling>
          <c:orientation val="minMax"/>
          <c:max val="150"/>
          <c:min val="5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36718976"/>
        <c:crosses val="autoZero"/>
        <c:crossBetween val="midCat"/>
        <c:majorUnit val="50"/>
        <c:minorUnit val="10"/>
      </c:valAx>
      <c:valAx>
        <c:axId val="136718976"/>
        <c:scaling>
          <c:orientation val="minMax"/>
          <c:max val="0.1"/>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36717440"/>
        <c:crosses val="autoZero"/>
        <c:crossBetween val="midCat"/>
        <c:majorUnit val="0.05"/>
        <c:minorUnit val="0.05"/>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eLF!$M$3:$M$252</c:f>
              <c:numCache>
                <c:formatCode>d/m/yyyy;@</c:formatCode>
                <c:ptCount val="250"/>
              </c:numCache>
            </c:numRef>
          </c:xVal>
          <c:yVal>
            <c:numRef>
              <c:f>eLF!$N$3:$N$252</c:f>
              <c:numCache>
                <c:formatCode>General</c:formatCode>
                <c:ptCount val="250"/>
              </c:numCache>
            </c:numRef>
          </c:yVal>
          <c:smooth val="0"/>
          <c:extLst>
            <c:ext xmlns:c16="http://schemas.microsoft.com/office/drawing/2014/chart" uri="{C3380CC4-5D6E-409C-BE32-E72D297353CC}">
              <c16:uniqueId val="{00000000-8A68-4D6D-AC16-5DA743B218CC}"/>
            </c:ext>
          </c:extLst>
        </c:ser>
        <c:ser>
          <c:idx val="1"/>
          <c:order val="1"/>
          <c:tx>
            <c:v>Q95</c:v>
          </c:tx>
          <c:spPr>
            <a:ln w="12700">
              <a:solidFill>
                <a:srgbClr val="0000FF"/>
              </a:solidFill>
              <a:prstDash val="sysDash"/>
            </a:ln>
          </c:spPr>
          <c:marker>
            <c:symbol val="none"/>
          </c:marker>
          <c:xVal>
            <c:numRef>
              <c:f>eLF!$E$57:$E$58</c:f>
              <c:numCache>
                <c:formatCode>m/d/yyyy</c:formatCode>
                <c:ptCount val="2"/>
                <c:pt idx="0">
                  <c:v>36161</c:v>
                </c:pt>
                <c:pt idx="1">
                  <c:v>51501</c:v>
                </c:pt>
              </c:numCache>
            </c:numRef>
          </c:xVal>
          <c:yVal>
            <c:numRef>
              <c:f>eLF!$F$57:$F$58</c:f>
              <c:numCache>
                <c:formatCode>0.000</c:formatCode>
                <c:ptCount val="2"/>
                <c:pt idx="0">
                  <c:v>0</c:v>
                </c:pt>
                <c:pt idx="1">
                  <c:v>0</c:v>
                </c:pt>
              </c:numCache>
            </c:numRef>
          </c:yVal>
          <c:smooth val="0"/>
          <c:extLst>
            <c:ext xmlns:c16="http://schemas.microsoft.com/office/drawing/2014/chart" uri="{C3380CC4-5D6E-409C-BE32-E72D297353CC}">
              <c16:uniqueId val="{00000001-8A68-4D6D-AC16-5DA743B218CC}"/>
            </c:ext>
          </c:extLst>
        </c:ser>
        <c:ser>
          <c:idx val="4"/>
          <c:order val="2"/>
          <c:tx>
            <c:v>Q95Log</c:v>
          </c:tx>
          <c:spPr>
            <a:ln w="12700">
              <a:solidFill>
                <a:srgbClr val="FF00FF"/>
              </a:solidFill>
              <a:prstDash val="sysDash"/>
            </a:ln>
          </c:spPr>
          <c:marker>
            <c:symbol val="none"/>
          </c:marker>
          <c:xVal>
            <c:numRef>
              <c:f>eLF!$E$57:$E$58</c:f>
              <c:numCache>
                <c:formatCode>m/d/yyyy</c:formatCode>
                <c:ptCount val="2"/>
                <c:pt idx="0">
                  <c:v>36161</c:v>
                </c:pt>
                <c:pt idx="1">
                  <c:v>51501</c:v>
                </c:pt>
              </c:numCache>
            </c:numRef>
          </c:xVal>
          <c:yVal>
            <c:numRef>
              <c:f>eLF!$J$57:$J$58</c:f>
              <c:numCache>
                <c:formatCode>0.000</c:formatCode>
                <c:ptCount val="2"/>
                <c:pt idx="0">
                  <c:v>0</c:v>
                </c:pt>
                <c:pt idx="1">
                  <c:v>0</c:v>
                </c:pt>
              </c:numCache>
            </c:numRef>
          </c:yVal>
          <c:smooth val="0"/>
          <c:extLst>
            <c:ext xmlns:c16="http://schemas.microsoft.com/office/drawing/2014/chart" uri="{C3380CC4-5D6E-409C-BE32-E72D297353CC}">
              <c16:uniqueId val="{00000002-8A68-4D6D-AC16-5DA743B218CC}"/>
            </c:ext>
          </c:extLst>
        </c:ser>
        <c:ser>
          <c:idx val="9"/>
          <c:order val="3"/>
          <c:tx>
            <c:v>vT</c:v>
          </c:tx>
          <c:spPr>
            <a:ln w="12700">
              <a:solidFill>
                <a:srgbClr val="808080"/>
              </a:solidFill>
              <a:prstDash val="sysDash"/>
            </a:ln>
          </c:spPr>
          <c:marker>
            <c:symbol val="none"/>
          </c:marker>
          <c:xVal>
            <c:numRef>
              <c:f>eLF!$G$122:$G$123</c:f>
              <c:numCache>
                <c:formatCode>d/m/yyyy;@</c:formatCode>
                <c:ptCount val="2"/>
                <c:pt idx="0">
                  <c:v>0</c:v>
                </c:pt>
                <c:pt idx="1">
                  <c:v>0</c:v>
                </c:pt>
              </c:numCache>
            </c:numRef>
          </c:xVal>
          <c:yVal>
            <c:numRef>
              <c:f>eLF!$I$122:$I$123</c:f>
              <c:numCache>
                <c:formatCode>General</c:formatCode>
                <c:ptCount val="2"/>
                <c:pt idx="0">
                  <c:v>0</c:v>
                </c:pt>
                <c:pt idx="1">
                  <c:v>0</c:v>
                </c:pt>
              </c:numCache>
            </c:numRef>
          </c:yVal>
          <c:smooth val="0"/>
          <c:extLst>
            <c:ext xmlns:c16="http://schemas.microsoft.com/office/drawing/2014/chart" uri="{C3380CC4-5D6E-409C-BE32-E72D297353CC}">
              <c16:uniqueId val="{00000003-8A68-4D6D-AC16-5DA743B218CC}"/>
            </c:ext>
          </c:extLst>
        </c:ser>
        <c:ser>
          <c:idx val="10"/>
          <c:order val="4"/>
          <c:tx>
            <c:v>Trend</c:v>
          </c:tx>
          <c:spPr>
            <a:ln w="12700">
              <a:solidFill>
                <a:srgbClr val="808080"/>
              </a:solidFill>
              <a:prstDash val="solid"/>
            </a:ln>
          </c:spPr>
          <c:marker>
            <c:symbol val="none"/>
          </c:marker>
          <c:xVal>
            <c:numRef>
              <c:f>eLF!$G$122:$G$123</c:f>
              <c:numCache>
                <c:formatCode>d/m/yyyy;@</c:formatCode>
                <c:ptCount val="2"/>
                <c:pt idx="0">
                  <c:v>0</c:v>
                </c:pt>
                <c:pt idx="1">
                  <c:v>0</c:v>
                </c:pt>
              </c:numCache>
            </c:numRef>
          </c:xVal>
          <c:yVal>
            <c:numRef>
              <c:f>eLF!$J$122:$J$123</c:f>
              <c:numCache>
                <c:formatCode>General</c:formatCode>
                <c:ptCount val="2"/>
                <c:pt idx="0">
                  <c:v>0</c:v>
                </c:pt>
                <c:pt idx="1">
                  <c:v>0</c:v>
                </c:pt>
              </c:numCache>
            </c:numRef>
          </c:yVal>
          <c:smooth val="0"/>
          <c:extLst>
            <c:ext xmlns:c16="http://schemas.microsoft.com/office/drawing/2014/chart" uri="{C3380CC4-5D6E-409C-BE32-E72D297353CC}">
              <c16:uniqueId val="{00000004-8A68-4D6D-AC16-5DA743B218CC}"/>
            </c:ext>
          </c:extLst>
        </c:ser>
        <c:ser>
          <c:idx val="2"/>
          <c:order val="5"/>
          <c:tx>
            <c:v>Q95u</c:v>
          </c:tx>
          <c:spPr>
            <a:ln w="12700">
              <a:solidFill>
                <a:srgbClr val="0000FF"/>
              </a:solidFill>
              <a:prstDash val="sysDash"/>
            </a:ln>
          </c:spPr>
          <c:marker>
            <c:symbol val="none"/>
          </c:marker>
          <c:xVal>
            <c:numRef>
              <c:f>eLF!$E$57:$E$58</c:f>
              <c:numCache>
                <c:formatCode>m/d/yyyy</c:formatCode>
                <c:ptCount val="2"/>
                <c:pt idx="0">
                  <c:v>36161</c:v>
                </c:pt>
                <c:pt idx="1">
                  <c:v>51501</c:v>
                </c:pt>
              </c:numCache>
            </c:numRef>
          </c:xVal>
          <c:yVal>
            <c:numRef>
              <c:f>eLF!$G$57:$G$58</c:f>
              <c:numCache>
                <c:formatCode>0.000</c:formatCode>
                <c:ptCount val="2"/>
                <c:pt idx="0">
                  <c:v>0</c:v>
                </c:pt>
                <c:pt idx="1">
                  <c:v>0</c:v>
                </c:pt>
              </c:numCache>
            </c:numRef>
          </c:yVal>
          <c:smooth val="0"/>
          <c:extLst>
            <c:ext xmlns:c16="http://schemas.microsoft.com/office/drawing/2014/chart" uri="{C3380CC4-5D6E-409C-BE32-E72D297353CC}">
              <c16:uniqueId val="{00000005-8A68-4D6D-AC16-5DA743B218CC}"/>
            </c:ext>
          </c:extLst>
        </c:ser>
        <c:ser>
          <c:idx val="3"/>
          <c:order val="6"/>
          <c:tx>
            <c:v>Q98</c:v>
          </c:tx>
          <c:spPr>
            <a:ln w="12700">
              <a:solidFill>
                <a:srgbClr val="0000FF"/>
              </a:solidFill>
              <a:prstDash val="solid"/>
            </a:ln>
          </c:spPr>
          <c:marker>
            <c:symbol val="none"/>
          </c:marker>
          <c:xVal>
            <c:numRef>
              <c:f>eLF!$E$57:$E$58</c:f>
              <c:numCache>
                <c:formatCode>m/d/yyyy</c:formatCode>
                <c:ptCount val="2"/>
                <c:pt idx="0">
                  <c:v>36161</c:v>
                </c:pt>
                <c:pt idx="1">
                  <c:v>51501</c:v>
                </c:pt>
              </c:numCache>
            </c:numRef>
          </c:xVal>
          <c:yVal>
            <c:numRef>
              <c:f>eLF!$H$57:$H$58</c:f>
              <c:numCache>
                <c:formatCode>0.000</c:formatCode>
                <c:ptCount val="2"/>
                <c:pt idx="0">
                  <c:v>0</c:v>
                </c:pt>
                <c:pt idx="1">
                  <c:v>0</c:v>
                </c:pt>
              </c:numCache>
            </c:numRef>
          </c:yVal>
          <c:smooth val="0"/>
          <c:extLst>
            <c:ext xmlns:c16="http://schemas.microsoft.com/office/drawing/2014/chart" uri="{C3380CC4-5D6E-409C-BE32-E72D297353CC}">
              <c16:uniqueId val="{00000006-8A68-4D6D-AC16-5DA743B218CC}"/>
            </c:ext>
          </c:extLst>
        </c:ser>
        <c:ser>
          <c:idx val="6"/>
          <c:order val="7"/>
          <c:tx>
            <c:v>Q98Log</c:v>
          </c:tx>
          <c:spPr>
            <a:ln w="12700">
              <a:solidFill>
                <a:srgbClr val="CC00FF"/>
              </a:solidFill>
            </a:ln>
          </c:spPr>
          <c:marker>
            <c:symbol val="none"/>
          </c:marker>
          <c:xVal>
            <c:numRef>
              <c:f>eLF!$E$57:$E$58</c:f>
              <c:numCache>
                <c:formatCode>m/d/yyyy</c:formatCode>
                <c:ptCount val="2"/>
                <c:pt idx="0">
                  <c:v>36161</c:v>
                </c:pt>
                <c:pt idx="1">
                  <c:v>51501</c:v>
                </c:pt>
              </c:numCache>
            </c:numRef>
          </c:xVal>
          <c:yVal>
            <c:numRef>
              <c:f>eLF!$K$57:$K$58</c:f>
              <c:numCache>
                <c:formatCode>0.000</c:formatCode>
                <c:ptCount val="2"/>
                <c:pt idx="0">
                  <c:v>0</c:v>
                </c:pt>
                <c:pt idx="1">
                  <c:v>0</c:v>
                </c:pt>
              </c:numCache>
            </c:numRef>
          </c:yVal>
          <c:smooth val="0"/>
          <c:extLst>
            <c:ext xmlns:c16="http://schemas.microsoft.com/office/drawing/2014/chart" uri="{C3380CC4-5D6E-409C-BE32-E72D297353CC}">
              <c16:uniqueId val="{00000007-8A68-4D6D-AC16-5DA743B218CC}"/>
            </c:ext>
          </c:extLst>
        </c:ser>
        <c:dLbls>
          <c:showLegendKey val="0"/>
          <c:showVal val="0"/>
          <c:showCatName val="0"/>
          <c:showSerName val="0"/>
          <c:showPercent val="0"/>
          <c:showBubbleSize val="0"/>
        </c:dLbls>
        <c:axId val="136771072"/>
        <c:axId val="136772608"/>
      </c:scatterChart>
      <c:valAx>
        <c:axId val="136771072"/>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36772608"/>
        <c:crossesAt val="0"/>
        <c:crossBetween val="midCat"/>
        <c:majorUnit val="1461"/>
        <c:minorUnit val="365.25"/>
      </c:valAx>
      <c:valAx>
        <c:axId val="136772608"/>
        <c:scaling>
          <c:orientation val="minMax"/>
          <c:max val="150"/>
          <c:min val="5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36771072"/>
        <c:crossesAt val="0"/>
        <c:crossBetween val="midCat"/>
        <c:majorUnit val="50"/>
        <c:minorUnit val="10"/>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Natrium!$F$63:$F$113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Natrium!$G$63:$G$113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13DB-459B-809C-BB2507181480}"/>
            </c:ext>
          </c:extLst>
        </c:ser>
        <c:ser>
          <c:idx val="1"/>
          <c:order val="1"/>
          <c:tx>
            <c:v>LogNormalverteilung</c:v>
          </c:tx>
          <c:spPr>
            <a:ln w="25400">
              <a:solidFill>
                <a:srgbClr val="FF00FF"/>
              </a:solidFill>
              <a:prstDash val="solid"/>
            </a:ln>
          </c:spPr>
          <c:marker>
            <c:symbol val="none"/>
          </c:marker>
          <c:xVal>
            <c:numRef>
              <c:f>Natrium!$I$63:$I$113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Natrium!$J$63:$J$113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13DB-459B-809C-BB2507181480}"/>
            </c:ext>
          </c:extLst>
        </c:ser>
        <c:ser>
          <c:idx val="2"/>
          <c:order val="2"/>
          <c:tx>
            <c:v>Histogramm</c:v>
          </c:tx>
          <c:spPr>
            <a:ln w="25400">
              <a:solidFill>
                <a:srgbClr val="969696"/>
              </a:solidFill>
              <a:prstDash val="lgDashDot"/>
            </a:ln>
          </c:spPr>
          <c:marker>
            <c:symbol val="none"/>
          </c:marker>
          <c:xVal>
            <c:numRef>
              <c:f>Natrium!$T$46:$T$97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Natrium!$U$46:$U$97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13DB-459B-809C-BB2507181480}"/>
            </c:ext>
          </c:extLst>
        </c:ser>
        <c:ser>
          <c:idx val="3"/>
          <c:order val="3"/>
          <c:tx>
            <c:v>Q95 No</c:v>
          </c:tx>
          <c:spPr>
            <a:ln w="12700">
              <a:solidFill>
                <a:srgbClr val="0000FF"/>
              </a:solidFill>
              <a:prstDash val="sysDash"/>
            </a:ln>
          </c:spPr>
          <c:marker>
            <c:symbol val="none"/>
          </c:marker>
          <c:xVal>
            <c:numRef>
              <c:f>Natrium!$U$3:$V$3</c:f>
              <c:numCache>
                <c:formatCode>0.000</c:formatCode>
                <c:ptCount val="2"/>
                <c:pt idx="0">
                  <c:v>0</c:v>
                </c:pt>
                <c:pt idx="1">
                  <c:v>0</c:v>
                </c:pt>
              </c:numCache>
            </c:numRef>
          </c:xVal>
          <c:yVal>
            <c:numRef>
              <c:f>Natrium!$U$2:$V$2</c:f>
              <c:numCache>
                <c:formatCode>General</c:formatCode>
                <c:ptCount val="2"/>
                <c:pt idx="0">
                  <c:v>0</c:v>
                </c:pt>
                <c:pt idx="1">
                  <c:v>1000</c:v>
                </c:pt>
              </c:numCache>
            </c:numRef>
          </c:yVal>
          <c:smooth val="0"/>
          <c:extLst>
            <c:ext xmlns:c16="http://schemas.microsoft.com/office/drawing/2014/chart" uri="{C3380CC4-5D6E-409C-BE32-E72D297353CC}">
              <c16:uniqueId val="{00000003-13DB-459B-809C-BB2507181480}"/>
            </c:ext>
          </c:extLst>
        </c:ser>
        <c:ser>
          <c:idx val="4"/>
          <c:order val="4"/>
          <c:tx>
            <c:v>Q95 Lo</c:v>
          </c:tx>
          <c:spPr>
            <a:ln w="12700">
              <a:solidFill>
                <a:srgbClr val="FF00FF"/>
              </a:solidFill>
              <a:prstDash val="sysDash"/>
            </a:ln>
          </c:spPr>
          <c:marker>
            <c:symbol val="none"/>
          </c:marker>
          <c:xVal>
            <c:numRef>
              <c:f>Natrium!$U$4:$V$4</c:f>
              <c:numCache>
                <c:formatCode>0.000</c:formatCode>
                <c:ptCount val="2"/>
                <c:pt idx="0">
                  <c:v>0</c:v>
                </c:pt>
                <c:pt idx="1">
                  <c:v>0</c:v>
                </c:pt>
              </c:numCache>
            </c:numRef>
          </c:xVal>
          <c:yVal>
            <c:numRef>
              <c:f>Natrium!$U$2:$V$2</c:f>
              <c:numCache>
                <c:formatCode>General</c:formatCode>
                <c:ptCount val="2"/>
                <c:pt idx="0">
                  <c:v>0</c:v>
                </c:pt>
                <c:pt idx="1">
                  <c:v>1000</c:v>
                </c:pt>
              </c:numCache>
            </c:numRef>
          </c:yVal>
          <c:smooth val="0"/>
          <c:extLst>
            <c:ext xmlns:c16="http://schemas.microsoft.com/office/drawing/2014/chart" uri="{C3380CC4-5D6E-409C-BE32-E72D297353CC}">
              <c16:uniqueId val="{00000004-13DB-459B-809C-BB2507181480}"/>
            </c:ext>
          </c:extLst>
        </c:ser>
        <c:ser>
          <c:idx val="5"/>
          <c:order val="5"/>
          <c:tx>
            <c:v>Q98 No</c:v>
          </c:tx>
          <c:spPr>
            <a:ln w="12700">
              <a:solidFill>
                <a:srgbClr val="0000FF"/>
              </a:solidFill>
              <a:prstDash val="solid"/>
            </a:ln>
          </c:spPr>
          <c:marker>
            <c:symbol val="none"/>
          </c:marker>
          <c:xVal>
            <c:numRef>
              <c:f>Natrium!$U$5:$V$5</c:f>
              <c:numCache>
                <c:formatCode>0.000</c:formatCode>
                <c:ptCount val="2"/>
                <c:pt idx="0">
                  <c:v>0</c:v>
                </c:pt>
                <c:pt idx="1">
                  <c:v>0</c:v>
                </c:pt>
              </c:numCache>
            </c:numRef>
          </c:xVal>
          <c:yVal>
            <c:numRef>
              <c:f>Natrium!$U$2:$V$2</c:f>
              <c:numCache>
                <c:formatCode>General</c:formatCode>
                <c:ptCount val="2"/>
                <c:pt idx="0">
                  <c:v>0</c:v>
                </c:pt>
                <c:pt idx="1">
                  <c:v>1000</c:v>
                </c:pt>
              </c:numCache>
            </c:numRef>
          </c:yVal>
          <c:smooth val="0"/>
          <c:extLst>
            <c:ext xmlns:c16="http://schemas.microsoft.com/office/drawing/2014/chart" uri="{C3380CC4-5D6E-409C-BE32-E72D297353CC}">
              <c16:uniqueId val="{00000005-13DB-459B-809C-BB2507181480}"/>
            </c:ext>
          </c:extLst>
        </c:ser>
        <c:ser>
          <c:idx val="6"/>
          <c:order val="6"/>
          <c:tx>
            <c:v>Q98 Lo</c:v>
          </c:tx>
          <c:spPr>
            <a:ln w="12700">
              <a:solidFill>
                <a:srgbClr val="FF00FF"/>
              </a:solidFill>
              <a:prstDash val="solid"/>
            </a:ln>
          </c:spPr>
          <c:marker>
            <c:symbol val="none"/>
          </c:marker>
          <c:xVal>
            <c:numRef>
              <c:f>Natrium!$U$6:$V$6</c:f>
              <c:numCache>
                <c:formatCode>0.000</c:formatCode>
                <c:ptCount val="2"/>
                <c:pt idx="0">
                  <c:v>0</c:v>
                </c:pt>
                <c:pt idx="1">
                  <c:v>0</c:v>
                </c:pt>
              </c:numCache>
            </c:numRef>
          </c:xVal>
          <c:yVal>
            <c:numRef>
              <c:f>Natrium!$U$2:$V$2</c:f>
              <c:numCache>
                <c:formatCode>General</c:formatCode>
                <c:ptCount val="2"/>
                <c:pt idx="0">
                  <c:v>0</c:v>
                </c:pt>
                <c:pt idx="1">
                  <c:v>1000</c:v>
                </c:pt>
              </c:numCache>
            </c:numRef>
          </c:yVal>
          <c:smooth val="0"/>
          <c:extLst>
            <c:ext xmlns:c16="http://schemas.microsoft.com/office/drawing/2014/chart" uri="{C3380CC4-5D6E-409C-BE32-E72D297353CC}">
              <c16:uniqueId val="{00000006-13DB-459B-809C-BB2507181480}"/>
            </c:ext>
          </c:extLst>
        </c:ser>
        <c:ser>
          <c:idx val="7"/>
          <c:order val="7"/>
          <c:tx>
            <c:v>Q95u</c:v>
          </c:tx>
          <c:spPr>
            <a:ln w="12700">
              <a:solidFill>
                <a:srgbClr val="0000FF"/>
              </a:solidFill>
              <a:prstDash val="sysDash"/>
            </a:ln>
          </c:spPr>
          <c:marker>
            <c:symbol val="none"/>
          </c:marker>
          <c:xVal>
            <c:numRef>
              <c:f>Natrium!$U$7:$V$7</c:f>
              <c:numCache>
                <c:formatCode>0.000</c:formatCode>
                <c:ptCount val="2"/>
                <c:pt idx="0">
                  <c:v>0</c:v>
                </c:pt>
                <c:pt idx="1">
                  <c:v>0</c:v>
                </c:pt>
              </c:numCache>
            </c:numRef>
          </c:xVal>
          <c:yVal>
            <c:numRef>
              <c:f>Natrium!$U$2:$V$2</c:f>
              <c:numCache>
                <c:formatCode>General</c:formatCode>
                <c:ptCount val="2"/>
                <c:pt idx="0">
                  <c:v>0</c:v>
                </c:pt>
                <c:pt idx="1">
                  <c:v>1000</c:v>
                </c:pt>
              </c:numCache>
            </c:numRef>
          </c:yVal>
          <c:smooth val="0"/>
          <c:extLst>
            <c:ext xmlns:c16="http://schemas.microsoft.com/office/drawing/2014/chart" uri="{C3380CC4-5D6E-409C-BE32-E72D297353CC}">
              <c16:uniqueId val="{00000007-13DB-459B-809C-BB2507181480}"/>
            </c:ext>
          </c:extLst>
        </c:ser>
        <c:ser>
          <c:idx val="8"/>
          <c:order val="8"/>
          <c:tx>
            <c:v>Q95u Lo</c:v>
          </c:tx>
          <c:spPr>
            <a:ln w="12700">
              <a:solidFill>
                <a:srgbClr val="FF00FF"/>
              </a:solidFill>
              <a:prstDash val="sysDash"/>
            </a:ln>
          </c:spPr>
          <c:marker>
            <c:symbol val="none"/>
          </c:marker>
          <c:xVal>
            <c:numRef>
              <c:f>Natrium!$U$8:$V$8</c:f>
              <c:numCache>
                <c:formatCode>0.000</c:formatCode>
                <c:ptCount val="2"/>
                <c:pt idx="0">
                  <c:v>0</c:v>
                </c:pt>
                <c:pt idx="1">
                  <c:v>0</c:v>
                </c:pt>
              </c:numCache>
            </c:numRef>
          </c:xVal>
          <c:yVal>
            <c:numRef>
              <c:f>Natrium!$U$2:$V$2</c:f>
              <c:numCache>
                <c:formatCode>General</c:formatCode>
                <c:ptCount val="2"/>
                <c:pt idx="0">
                  <c:v>0</c:v>
                </c:pt>
                <c:pt idx="1">
                  <c:v>1000</c:v>
                </c:pt>
              </c:numCache>
            </c:numRef>
          </c:yVal>
          <c:smooth val="0"/>
          <c:extLst>
            <c:ext xmlns:c16="http://schemas.microsoft.com/office/drawing/2014/chart" uri="{C3380CC4-5D6E-409C-BE32-E72D297353CC}">
              <c16:uniqueId val="{00000008-13DB-459B-809C-BB2507181480}"/>
            </c:ext>
          </c:extLst>
        </c:ser>
        <c:ser>
          <c:idx val="9"/>
          <c:order val="9"/>
          <c:tx>
            <c:v>Median</c:v>
          </c:tx>
          <c:spPr>
            <a:ln w="12700">
              <a:solidFill>
                <a:srgbClr val="969696"/>
              </a:solidFill>
              <a:prstDash val="lgDashDotDot"/>
            </a:ln>
          </c:spPr>
          <c:marker>
            <c:symbol val="none"/>
          </c:marker>
          <c:xVal>
            <c:numRef>
              <c:f>Natrium!$U$11:$V$11</c:f>
              <c:numCache>
                <c:formatCode>0.000</c:formatCode>
                <c:ptCount val="2"/>
                <c:pt idx="0">
                  <c:v>0</c:v>
                </c:pt>
                <c:pt idx="1">
                  <c:v>0</c:v>
                </c:pt>
              </c:numCache>
            </c:numRef>
          </c:xVal>
          <c:yVal>
            <c:numRef>
              <c:f>Natrium!$U$2:$V$2</c:f>
              <c:numCache>
                <c:formatCode>General</c:formatCode>
                <c:ptCount val="2"/>
                <c:pt idx="0">
                  <c:v>0</c:v>
                </c:pt>
                <c:pt idx="1">
                  <c:v>1000</c:v>
                </c:pt>
              </c:numCache>
            </c:numRef>
          </c:yVal>
          <c:smooth val="0"/>
          <c:extLst>
            <c:ext xmlns:c16="http://schemas.microsoft.com/office/drawing/2014/chart" uri="{C3380CC4-5D6E-409C-BE32-E72D297353CC}">
              <c16:uniqueId val="{00000009-13DB-459B-809C-BB2507181480}"/>
            </c:ext>
          </c:extLst>
        </c:ser>
        <c:dLbls>
          <c:showLegendKey val="0"/>
          <c:showVal val="0"/>
          <c:showCatName val="0"/>
          <c:showSerName val="0"/>
          <c:showPercent val="0"/>
          <c:showBubbleSize val="0"/>
        </c:dLbls>
        <c:axId val="137925376"/>
        <c:axId val="137926912"/>
      </c:scatterChart>
      <c:valAx>
        <c:axId val="137925376"/>
        <c:scaling>
          <c:orientation val="minMax"/>
          <c:max val="15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37926912"/>
        <c:crosses val="autoZero"/>
        <c:crossBetween val="midCat"/>
        <c:majorUnit val="50"/>
        <c:minorUnit val="10"/>
      </c:valAx>
      <c:valAx>
        <c:axId val="137926912"/>
        <c:scaling>
          <c:orientation val="minMax"/>
          <c:max val="5.000000000000001E-2"/>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37925376"/>
        <c:crosses val="autoZero"/>
        <c:crossBetween val="midCat"/>
        <c:majorUnit val="1.0000000000000002E-2"/>
        <c:minorUnit val="1.0000000000000002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Natrium!$M$3:$M$252</c:f>
              <c:numCache>
                <c:formatCode>d/m/yyyy;@</c:formatCode>
                <c:ptCount val="250"/>
              </c:numCache>
            </c:numRef>
          </c:xVal>
          <c:yVal>
            <c:numRef>
              <c:f>Natrium!$N$3:$N$252</c:f>
              <c:numCache>
                <c:formatCode>General</c:formatCode>
                <c:ptCount val="250"/>
              </c:numCache>
            </c:numRef>
          </c:yVal>
          <c:smooth val="0"/>
          <c:extLst>
            <c:ext xmlns:c16="http://schemas.microsoft.com/office/drawing/2014/chart" uri="{C3380CC4-5D6E-409C-BE32-E72D297353CC}">
              <c16:uniqueId val="{00000000-BDCB-4515-9CAE-F3BD336F408B}"/>
            </c:ext>
          </c:extLst>
        </c:ser>
        <c:ser>
          <c:idx val="1"/>
          <c:order val="1"/>
          <c:tx>
            <c:v>Q95</c:v>
          </c:tx>
          <c:spPr>
            <a:ln w="12700">
              <a:solidFill>
                <a:srgbClr val="0000FF"/>
              </a:solidFill>
              <a:prstDash val="sysDash"/>
            </a:ln>
          </c:spPr>
          <c:marker>
            <c:symbol val="none"/>
          </c:marker>
          <c:xVal>
            <c:numRef>
              <c:f>Natrium!$E$57:$E$58</c:f>
              <c:numCache>
                <c:formatCode>m/d/yyyy</c:formatCode>
                <c:ptCount val="2"/>
                <c:pt idx="0">
                  <c:v>1</c:v>
                </c:pt>
                <c:pt idx="1">
                  <c:v>51501</c:v>
                </c:pt>
              </c:numCache>
            </c:numRef>
          </c:xVal>
          <c:yVal>
            <c:numRef>
              <c:f>Natrium!$F$57:$F$58</c:f>
              <c:numCache>
                <c:formatCode>0.000</c:formatCode>
                <c:ptCount val="2"/>
                <c:pt idx="0">
                  <c:v>0</c:v>
                </c:pt>
                <c:pt idx="1">
                  <c:v>0</c:v>
                </c:pt>
              </c:numCache>
            </c:numRef>
          </c:yVal>
          <c:smooth val="0"/>
          <c:extLst>
            <c:ext xmlns:c16="http://schemas.microsoft.com/office/drawing/2014/chart" uri="{C3380CC4-5D6E-409C-BE32-E72D297353CC}">
              <c16:uniqueId val="{00000001-BDCB-4515-9CAE-F3BD336F408B}"/>
            </c:ext>
          </c:extLst>
        </c:ser>
        <c:ser>
          <c:idx val="4"/>
          <c:order val="2"/>
          <c:tx>
            <c:v>Q95Log</c:v>
          </c:tx>
          <c:spPr>
            <a:ln w="12700">
              <a:solidFill>
                <a:srgbClr val="FF00FF"/>
              </a:solidFill>
              <a:prstDash val="sysDash"/>
            </a:ln>
          </c:spPr>
          <c:marker>
            <c:symbol val="none"/>
          </c:marker>
          <c:xVal>
            <c:numRef>
              <c:f>Natrium!$E$57:$E$58</c:f>
              <c:numCache>
                <c:formatCode>m/d/yyyy</c:formatCode>
                <c:ptCount val="2"/>
                <c:pt idx="0">
                  <c:v>1</c:v>
                </c:pt>
                <c:pt idx="1">
                  <c:v>51501</c:v>
                </c:pt>
              </c:numCache>
            </c:numRef>
          </c:xVal>
          <c:yVal>
            <c:numRef>
              <c:f>Natrium!$J$57:$J$58</c:f>
              <c:numCache>
                <c:formatCode>0.000</c:formatCode>
                <c:ptCount val="2"/>
                <c:pt idx="0">
                  <c:v>0</c:v>
                </c:pt>
                <c:pt idx="1">
                  <c:v>0</c:v>
                </c:pt>
              </c:numCache>
            </c:numRef>
          </c:yVal>
          <c:smooth val="0"/>
          <c:extLst>
            <c:ext xmlns:c16="http://schemas.microsoft.com/office/drawing/2014/chart" uri="{C3380CC4-5D6E-409C-BE32-E72D297353CC}">
              <c16:uniqueId val="{00000002-BDCB-4515-9CAE-F3BD336F408B}"/>
            </c:ext>
          </c:extLst>
        </c:ser>
        <c:ser>
          <c:idx val="9"/>
          <c:order val="3"/>
          <c:tx>
            <c:v>vT</c:v>
          </c:tx>
          <c:spPr>
            <a:ln w="12700">
              <a:solidFill>
                <a:srgbClr val="808080"/>
              </a:solidFill>
              <a:prstDash val="sysDash"/>
            </a:ln>
          </c:spPr>
          <c:marker>
            <c:symbol val="none"/>
          </c:marker>
          <c:xVal>
            <c:numRef>
              <c:f>Natrium!$G$122:$G$123</c:f>
              <c:numCache>
                <c:formatCode>d/m/yyyy;@</c:formatCode>
                <c:ptCount val="2"/>
                <c:pt idx="0">
                  <c:v>0</c:v>
                </c:pt>
                <c:pt idx="1">
                  <c:v>0</c:v>
                </c:pt>
              </c:numCache>
            </c:numRef>
          </c:xVal>
          <c:yVal>
            <c:numRef>
              <c:f>Natrium!$I$122:$I$123</c:f>
              <c:numCache>
                <c:formatCode>General</c:formatCode>
                <c:ptCount val="2"/>
                <c:pt idx="0">
                  <c:v>0</c:v>
                </c:pt>
                <c:pt idx="1">
                  <c:v>0</c:v>
                </c:pt>
              </c:numCache>
            </c:numRef>
          </c:yVal>
          <c:smooth val="0"/>
          <c:extLst>
            <c:ext xmlns:c16="http://schemas.microsoft.com/office/drawing/2014/chart" uri="{C3380CC4-5D6E-409C-BE32-E72D297353CC}">
              <c16:uniqueId val="{00000003-BDCB-4515-9CAE-F3BD336F408B}"/>
            </c:ext>
          </c:extLst>
        </c:ser>
        <c:ser>
          <c:idx val="10"/>
          <c:order val="4"/>
          <c:tx>
            <c:v>Trend</c:v>
          </c:tx>
          <c:spPr>
            <a:ln w="12700">
              <a:solidFill>
                <a:srgbClr val="808080"/>
              </a:solidFill>
              <a:prstDash val="solid"/>
            </a:ln>
          </c:spPr>
          <c:marker>
            <c:symbol val="none"/>
          </c:marker>
          <c:xVal>
            <c:numRef>
              <c:f>Natrium!$G$122:$G$123</c:f>
              <c:numCache>
                <c:formatCode>d/m/yyyy;@</c:formatCode>
                <c:ptCount val="2"/>
                <c:pt idx="0">
                  <c:v>0</c:v>
                </c:pt>
                <c:pt idx="1">
                  <c:v>0</c:v>
                </c:pt>
              </c:numCache>
            </c:numRef>
          </c:xVal>
          <c:yVal>
            <c:numRef>
              <c:f>Natrium!$J$122:$J$123</c:f>
              <c:numCache>
                <c:formatCode>General</c:formatCode>
                <c:ptCount val="2"/>
                <c:pt idx="0">
                  <c:v>0</c:v>
                </c:pt>
                <c:pt idx="1">
                  <c:v>0</c:v>
                </c:pt>
              </c:numCache>
            </c:numRef>
          </c:yVal>
          <c:smooth val="0"/>
          <c:extLst>
            <c:ext xmlns:c16="http://schemas.microsoft.com/office/drawing/2014/chart" uri="{C3380CC4-5D6E-409C-BE32-E72D297353CC}">
              <c16:uniqueId val="{00000004-BDCB-4515-9CAE-F3BD336F408B}"/>
            </c:ext>
          </c:extLst>
        </c:ser>
        <c:ser>
          <c:idx val="2"/>
          <c:order val="5"/>
          <c:tx>
            <c:v>Q95u</c:v>
          </c:tx>
          <c:spPr>
            <a:ln w="12700">
              <a:solidFill>
                <a:srgbClr val="0000FF"/>
              </a:solidFill>
              <a:prstDash val="sysDash"/>
            </a:ln>
          </c:spPr>
          <c:marker>
            <c:symbol val="none"/>
          </c:marker>
          <c:xVal>
            <c:numRef>
              <c:f>Natrium!$E$57:$E$58</c:f>
              <c:numCache>
                <c:formatCode>m/d/yyyy</c:formatCode>
                <c:ptCount val="2"/>
                <c:pt idx="0">
                  <c:v>1</c:v>
                </c:pt>
                <c:pt idx="1">
                  <c:v>51501</c:v>
                </c:pt>
              </c:numCache>
            </c:numRef>
          </c:xVal>
          <c:yVal>
            <c:numRef>
              <c:f>Natrium!$G$57:$G$58</c:f>
              <c:numCache>
                <c:formatCode>0.000</c:formatCode>
                <c:ptCount val="2"/>
                <c:pt idx="0">
                  <c:v>0</c:v>
                </c:pt>
                <c:pt idx="1">
                  <c:v>0</c:v>
                </c:pt>
              </c:numCache>
            </c:numRef>
          </c:yVal>
          <c:smooth val="0"/>
          <c:extLst>
            <c:ext xmlns:c16="http://schemas.microsoft.com/office/drawing/2014/chart" uri="{C3380CC4-5D6E-409C-BE32-E72D297353CC}">
              <c16:uniqueId val="{00000005-BDCB-4515-9CAE-F3BD336F408B}"/>
            </c:ext>
          </c:extLst>
        </c:ser>
        <c:ser>
          <c:idx val="3"/>
          <c:order val="6"/>
          <c:tx>
            <c:v>Q98</c:v>
          </c:tx>
          <c:spPr>
            <a:ln w="12700">
              <a:solidFill>
                <a:srgbClr val="0000FF"/>
              </a:solidFill>
              <a:prstDash val="solid"/>
            </a:ln>
          </c:spPr>
          <c:marker>
            <c:symbol val="none"/>
          </c:marker>
          <c:xVal>
            <c:numRef>
              <c:f>Natrium!$E$57:$E$58</c:f>
              <c:numCache>
                <c:formatCode>m/d/yyyy</c:formatCode>
                <c:ptCount val="2"/>
                <c:pt idx="0">
                  <c:v>1</c:v>
                </c:pt>
                <c:pt idx="1">
                  <c:v>51501</c:v>
                </c:pt>
              </c:numCache>
            </c:numRef>
          </c:xVal>
          <c:yVal>
            <c:numRef>
              <c:f>Natrium!$H$57:$H$58</c:f>
              <c:numCache>
                <c:formatCode>0.000</c:formatCode>
                <c:ptCount val="2"/>
                <c:pt idx="0">
                  <c:v>0</c:v>
                </c:pt>
                <c:pt idx="1">
                  <c:v>0</c:v>
                </c:pt>
              </c:numCache>
            </c:numRef>
          </c:yVal>
          <c:smooth val="0"/>
          <c:extLst>
            <c:ext xmlns:c16="http://schemas.microsoft.com/office/drawing/2014/chart" uri="{C3380CC4-5D6E-409C-BE32-E72D297353CC}">
              <c16:uniqueId val="{00000006-BDCB-4515-9CAE-F3BD336F408B}"/>
            </c:ext>
          </c:extLst>
        </c:ser>
        <c:ser>
          <c:idx val="6"/>
          <c:order val="7"/>
          <c:tx>
            <c:v>Q98Log</c:v>
          </c:tx>
          <c:spPr>
            <a:ln w="12700">
              <a:solidFill>
                <a:srgbClr val="CC00FF"/>
              </a:solidFill>
            </a:ln>
          </c:spPr>
          <c:marker>
            <c:symbol val="none"/>
          </c:marker>
          <c:xVal>
            <c:numRef>
              <c:f>Natrium!$E$57:$E$58</c:f>
              <c:numCache>
                <c:formatCode>m/d/yyyy</c:formatCode>
                <c:ptCount val="2"/>
                <c:pt idx="0">
                  <c:v>1</c:v>
                </c:pt>
                <c:pt idx="1">
                  <c:v>51501</c:v>
                </c:pt>
              </c:numCache>
            </c:numRef>
          </c:xVal>
          <c:yVal>
            <c:numRef>
              <c:f>Natrium!$K$57:$K$58</c:f>
              <c:numCache>
                <c:formatCode>0.000</c:formatCode>
                <c:ptCount val="2"/>
                <c:pt idx="0">
                  <c:v>0</c:v>
                </c:pt>
                <c:pt idx="1">
                  <c:v>0</c:v>
                </c:pt>
              </c:numCache>
            </c:numRef>
          </c:yVal>
          <c:smooth val="0"/>
          <c:extLst>
            <c:ext xmlns:c16="http://schemas.microsoft.com/office/drawing/2014/chart" uri="{C3380CC4-5D6E-409C-BE32-E72D297353CC}">
              <c16:uniqueId val="{00000007-BDCB-4515-9CAE-F3BD336F408B}"/>
            </c:ext>
          </c:extLst>
        </c:ser>
        <c:dLbls>
          <c:showLegendKey val="0"/>
          <c:showVal val="0"/>
          <c:showCatName val="0"/>
          <c:showSerName val="0"/>
          <c:showPercent val="0"/>
          <c:showBubbleSize val="0"/>
        </c:dLbls>
        <c:axId val="137776128"/>
        <c:axId val="137782016"/>
      </c:scatterChart>
      <c:valAx>
        <c:axId val="137776128"/>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37782016"/>
        <c:crossesAt val="0"/>
        <c:crossBetween val="midCat"/>
        <c:majorUnit val="1461"/>
        <c:minorUnit val="365.25"/>
      </c:valAx>
      <c:valAx>
        <c:axId val="137782016"/>
        <c:scaling>
          <c:orientation val="minMax"/>
          <c:max val="15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37776128"/>
        <c:crossesAt val="0"/>
        <c:crossBetween val="midCat"/>
        <c:majorUnit val="25"/>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Kalium!$F$63:$F$113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Kalium!$G$63:$G$113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F16E-47E3-B64A-77FFA8B9249D}"/>
            </c:ext>
          </c:extLst>
        </c:ser>
        <c:ser>
          <c:idx val="1"/>
          <c:order val="1"/>
          <c:tx>
            <c:v>LogNormalverteilung</c:v>
          </c:tx>
          <c:spPr>
            <a:ln w="25400">
              <a:solidFill>
                <a:srgbClr val="FF00FF"/>
              </a:solidFill>
              <a:prstDash val="solid"/>
            </a:ln>
          </c:spPr>
          <c:marker>
            <c:symbol val="none"/>
          </c:marker>
          <c:xVal>
            <c:numRef>
              <c:f>Kalium!$I$63:$I$113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Kalium!$J$63:$J$113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F16E-47E3-B64A-77FFA8B9249D}"/>
            </c:ext>
          </c:extLst>
        </c:ser>
        <c:ser>
          <c:idx val="2"/>
          <c:order val="2"/>
          <c:tx>
            <c:v>Histogramm</c:v>
          </c:tx>
          <c:spPr>
            <a:ln w="25400">
              <a:solidFill>
                <a:srgbClr val="969696"/>
              </a:solidFill>
              <a:prstDash val="lgDashDot"/>
            </a:ln>
          </c:spPr>
          <c:marker>
            <c:symbol val="none"/>
          </c:marker>
          <c:xVal>
            <c:numRef>
              <c:f>Kalium!$T$46:$T$97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Kalium!$U$46:$U$97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F16E-47E3-B64A-77FFA8B9249D}"/>
            </c:ext>
          </c:extLst>
        </c:ser>
        <c:ser>
          <c:idx val="3"/>
          <c:order val="3"/>
          <c:tx>
            <c:v>Q95 No</c:v>
          </c:tx>
          <c:spPr>
            <a:ln w="12700">
              <a:solidFill>
                <a:srgbClr val="0000FF"/>
              </a:solidFill>
              <a:prstDash val="sysDash"/>
            </a:ln>
          </c:spPr>
          <c:marker>
            <c:symbol val="none"/>
          </c:marker>
          <c:xVal>
            <c:numRef>
              <c:f>Kalium!$U$3:$V$3</c:f>
              <c:numCache>
                <c:formatCode>0.000</c:formatCode>
                <c:ptCount val="2"/>
                <c:pt idx="0">
                  <c:v>0</c:v>
                </c:pt>
                <c:pt idx="1">
                  <c:v>0</c:v>
                </c:pt>
              </c:numCache>
            </c:numRef>
          </c:xVal>
          <c:yVal>
            <c:numRef>
              <c:f>Kalium!$U$2:$V$2</c:f>
              <c:numCache>
                <c:formatCode>General</c:formatCode>
                <c:ptCount val="2"/>
                <c:pt idx="0">
                  <c:v>0</c:v>
                </c:pt>
                <c:pt idx="1">
                  <c:v>1000</c:v>
                </c:pt>
              </c:numCache>
            </c:numRef>
          </c:yVal>
          <c:smooth val="0"/>
          <c:extLst>
            <c:ext xmlns:c16="http://schemas.microsoft.com/office/drawing/2014/chart" uri="{C3380CC4-5D6E-409C-BE32-E72D297353CC}">
              <c16:uniqueId val="{00000003-F16E-47E3-B64A-77FFA8B9249D}"/>
            </c:ext>
          </c:extLst>
        </c:ser>
        <c:ser>
          <c:idx val="4"/>
          <c:order val="4"/>
          <c:tx>
            <c:v>Q95 Lo</c:v>
          </c:tx>
          <c:spPr>
            <a:ln w="12700">
              <a:solidFill>
                <a:srgbClr val="FF00FF"/>
              </a:solidFill>
              <a:prstDash val="sysDash"/>
            </a:ln>
          </c:spPr>
          <c:marker>
            <c:symbol val="none"/>
          </c:marker>
          <c:xVal>
            <c:numRef>
              <c:f>Kalium!$U$4:$V$4</c:f>
              <c:numCache>
                <c:formatCode>0.000</c:formatCode>
                <c:ptCount val="2"/>
                <c:pt idx="0">
                  <c:v>0</c:v>
                </c:pt>
                <c:pt idx="1">
                  <c:v>0</c:v>
                </c:pt>
              </c:numCache>
            </c:numRef>
          </c:xVal>
          <c:yVal>
            <c:numRef>
              <c:f>Kalium!$U$2:$V$2</c:f>
              <c:numCache>
                <c:formatCode>General</c:formatCode>
                <c:ptCount val="2"/>
                <c:pt idx="0">
                  <c:v>0</c:v>
                </c:pt>
                <c:pt idx="1">
                  <c:v>1000</c:v>
                </c:pt>
              </c:numCache>
            </c:numRef>
          </c:yVal>
          <c:smooth val="0"/>
          <c:extLst>
            <c:ext xmlns:c16="http://schemas.microsoft.com/office/drawing/2014/chart" uri="{C3380CC4-5D6E-409C-BE32-E72D297353CC}">
              <c16:uniqueId val="{00000004-F16E-47E3-B64A-77FFA8B9249D}"/>
            </c:ext>
          </c:extLst>
        </c:ser>
        <c:ser>
          <c:idx val="5"/>
          <c:order val="5"/>
          <c:tx>
            <c:v>Q98 No</c:v>
          </c:tx>
          <c:spPr>
            <a:ln w="12700">
              <a:solidFill>
                <a:srgbClr val="0000FF"/>
              </a:solidFill>
              <a:prstDash val="solid"/>
            </a:ln>
          </c:spPr>
          <c:marker>
            <c:symbol val="none"/>
          </c:marker>
          <c:xVal>
            <c:numRef>
              <c:f>Kalium!$U$5:$V$5</c:f>
              <c:numCache>
                <c:formatCode>0.000</c:formatCode>
                <c:ptCount val="2"/>
                <c:pt idx="0">
                  <c:v>0</c:v>
                </c:pt>
                <c:pt idx="1">
                  <c:v>0</c:v>
                </c:pt>
              </c:numCache>
            </c:numRef>
          </c:xVal>
          <c:yVal>
            <c:numRef>
              <c:f>Kalium!$U$2:$V$2</c:f>
              <c:numCache>
                <c:formatCode>General</c:formatCode>
                <c:ptCount val="2"/>
                <c:pt idx="0">
                  <c:v>0</c:v>
                </c:pt>
                <c:pt idx="1">
                  <c:v>1000</c:v>
                </c:pt>
              </c:numCache>
            </c:numRef>
          </c:yVal>
          <c:smooth val="0"/>
          <c:extLst>
            <c:ext xmlns:c16="http://schemas.microsoft.com/office/drawing/2014/chart" uri="{C3380CC4-5D6E-409C-BE32-E72D297353CC}">
              <c16:uniqueId val="{00000005-F16E-47E3-B64A-77FFA8B9249D}"/>
            </c:ext>
          </c:extLst>
        </c:ser>
        <c:ser>
          <c:idx val="6"/>
          <c:order val="6"/>
          <c:tx>
            <c:v>Q98 Lo</c:v>
          </c:tx>
          <c:spPr>
            <a:ln w="12700">
              <a:solidFill>
                <a:srgbClr val="FF00FF"/>
              </a:solidFill>
              <a:prstDash val="solid"/>
            </a:ln>
          </c:spPr>
          <c:marker>
            <c:symbol val="none"/>
          </c:marker>
          <c:xVal>
            <c:numRef>
              <c:f>Kalium!$U$6:$V$6</c:f>
              <c:numCache>
                <c:formatCode>0.000</c:formatCode>
                <c:ptCount val="2"/>
                <c:pt idx="0">
                  <c:v>0</c:v>
                </c:pt>
                <c:pt idx="1">
                  <c:v>0</c:v>
                </c:pt>
              </c:numCache>
            </c:numRef>
          </c:xVal>
          <c:yVal>
            <c:numRef>
              <c:f>Kalium!$U$2:$V$2</c:f>
              <c:numCache>
                <c:formatCode>General</c:formatCode>
                <c:ptCount val="2"/>
                <c:pt idx="0">
                  <c:v>0</c:v>
                </c:pt>
                <c:pt idx="1">
                  <c:v>1000</c:v>
                </c:pt>
              </c:numCache>
            </c:numRef>
          </c:yVal>
          <c:smooth val="0"/>
          <c:extLst>
            <c:ext xmlns:c16="http://schemas.microsoft.com/office/drawing/2014/chart" uri="{C3380CC4-5D6E-409C-BE32-E72D297353CC}">
              <c16:uniqueId val="{00000006-F16E-47E3-B64A-77FFA8B9249D}"/>
            </c:ext>
          </c:extLst>
        </c:ser>
        <c:ser>
          <c:idx val="7"/>
          <c:order val="7"/>
          <c:tx>
            <c:v>Q95u</c:v>
          </c:tx>
          <c:spPr>
            <a:ln w="12700">
              <a:solidFill>
                <a:srgbClr val="0000FF"/>
              </a:solidFill>
              <a:prstDash val="sysDash"/>
            </a:ln>
          </c:spPr>
          <c:marker>
            <c:symbol val="none"/>
          </c:marker>
          <c:xVal>
            <c:numRef>
              <c:f>Kalium!$U$7:$V$7</c:f>
              <c:numCache>
                <c:formatCode>0.000</c:formatCode>
                <c:ptCount val="2"/>
                <c:pt idx="0">
                  <c:v>0</c:v>
                </c:pt>
                <c:pt idx="1">
                  <c:v>0</c:v>
                </c:pt>
              </c:numCache>
            </c:numRef>
          </c:xVal>
          <c:yVal>
            <c:numRef>
              <c:f>Kalium!$U$2:$V$2</c:f>
              <c:numCache>
                <c:formatCode>General</c:formatCode>
                <c:ptCount val="2"/>
                <c:pt idx="0">
                  <c:v>0</c:v>
                </c:pt>
                <c:pt idx="1">
                  <c:v>1000</c:v>
                </c:pt>
              </c:numCache>
            </c:numRef>
          </c:yVal>
          <c:smooth val="0"/>
          <c:extLst>
            <c:ext xmlns:c16="http://schemas.microsoft.com/office/drawing/2014/chart" uri="{C3380CC4-5D6E-409C-BE32-E72D297353CC}">
              <c16:uniqueId val="{00000007-F16E-47E3-B64A-77FFA8B9249D}"/>
            </c:ext>
          </c:extLst>
        </c:ser>
        <c:ser>
          <c:idx val="8"/>
          <c:order val="8"/>
          <c:tx>
            <c:v>Q95u Lo</c:v>
          </c:tx>
          <c:spPr>
            <a:ln w="12700">
              <a:solidFill>
                <a:srgbClr val="FF00FF"/>
              </a:solidFill>
              <a:prstDash val="sysDash"/>
            </a:ln>
          </c:spPr>
          <c:marker>
            <c:symbol val="none"/>
          </c:marker>
          <c:xVal>
            <c:numRef>
              <c:f>Kalium!$U$8:$V$8</c:f>
              <c:numCache>
                <c:formatCode>0.000</c:formatCode>
                <c:ptCount val="2"/>
                <c:pt idx="0">
                  <c:v>0</c:v>
                </c:pt>
                <c:pt idx="1">
                  <c:v>0</c:v>
                </c:pt>
              </c:numCache>
            </c:numRef>
          </c:xVal>
          <c:yVal>
            <c:numRef>
              <c:f>Kalium!$U$2:$V$2</c:f>
              <c:numCache>
                <c:formatCode>General</c:formatCode>
                <c:ptCount val="2"/>
                <c:pt idx="0">
                  <c:v>0</c:v>
                </c:pt>
                <c:pt idx="1">
                  <c:v>1000</c:v>
                </c:pt>
              </c:numCache>
            </c:numRef>
          </c:yVal>
          <c:smooth val="0"/>
          <c:extLst>
            <c:ext xmlns:c16="http://schemas.microsoft.com/office/drawing/2014/chart" uri="{C3380CC4-5D6E-409C-BE32-E72D297353CC}">
              <c16:uniqueId val="{00000008-F16E-47E3-B64A-77FFA8B9249D}"/>
            </c:ext>
          </c:extLst>
        </c:ser>
        <c:ser>
          <c:idx val="9"/>
          <c:order val="9"/>
          <c:tx>
            <c:v>Median</c:v>
          </c:tx>
          <c:spPr>
            <a:ln w="12700">
              <a:solidFill>
                <a:srgbClr val="969696"/>
              </a:solidFill>
              <a:prstDash val="lgDashDotDot"/>
            </a:ln>
          </c:spPr>
          <c:marker>
            <c:symbol val="none"/>
          </c:marker>
          <c:xVal>
            <c:numRef>
              <c:f>Kalium!$U$11:$V$11</c:f>
              <c:numCache>
                <c:formatCode>0.000</c:formatCode>
                <c:ptCount val="2"/>
                <c:pt idx="0">
                  <c:v>0</c:v>
                </c:pt>
                <c:pt idx="1">
                  <c:v>0</c:v>
                </c:pt>
              </c:numCache>
            </c:numRef>
          </c:xVal>
          <c:yVal>
            <c:numRef>
              <c:f>Kalium!$U$2:$V$2</c:f>
              <c:numCache>
                <c:formatCode>General</c:formatCode>
                <c:ptCount val="2"/>
                <c:pt idx="0">
                  <c:v>0</c:v>
                </c:pt>
                <c:pt idx="1">
                  <c:v>1000</c:v>
                </c:pt>
              </c:numCache>
            </c:numRef>
          </c:yVal>
          <c:smooth val="0"/>
          <c:extLst>
            <c:ext xmlns:c16="http://schemas.microsoft.com/office/drawing/2014/chart" uri="{C3380CC4-5D6E-409C-BE32-E72D297353CC}">
              <c16:uniqueId val="{00000009-F16E-47E3-B64A-77FFA8B9249D}"/>
            </c:ext>
          </c:extLst>
        </c:ser>
        <c:dLbls>
          <c:showLegendKey val="0"/>
          <c:showVal val="0"/>
          <c:showCatName val="0"/>
          <c:showSerName val="0"/>
          <c:showPercent val="0"/>
          <c:showBubbleSize val="0"/>
        </c:dLbls>
        <c:axId val="138250880"/>
        <c:axId val="138252672"/>
      </c:scatterChart>
      <c:valAx>
        <c:axId val="138250880"/>
        <c:scaling>
          <c:orientation val="minMax"/>
          <c:max val="2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38252672"/>
        <c:crosses val="autoZero"/>
        <c:crossBetween val="midCat"/>
        <c:majorUnit val="5"/>
        <c:minorUnit val="1"/>
      </c:valAx>
      <c:valAx>
        <c:axId val="138252672"/>
        <c:scaling>
          <c:orientation val="minMax"/>
          <c:max val="0.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38250880"/>
        <c:crosses val="autoZero"/>
        <c:crossBetween val="midCat"/>
        <c:majorUnit val="0.1"/>
        <c:minorUnit val="0.05"/>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Kalium!$M$3:$M$252</c:f>
              <c:numCache>
                <c:formatCode>d/m/yyyy;@</c:formatCode>
                <c:ptCount val="250"/>
              </c:numCache>
            </c:numRef>
          </c:xVal>
          <c:yVal>
            <c:numRef>
              <c:f>Kalium!$N$3:$N$252</c:f>
              <c:numCache>
                <c:formatCode>General</c:formatCode>
                <c:ptCount val="250"/>
              </c:numCache>
            </c:numRef>
          </c:yVal>
          <c:smooth val="0"/>
          <c:extLst>
            <c:ext xmlns:c16="http://schemas.microsoft.com/office/drawing/2014/chart" uri="{C3380CC4-5D6E-409C-BE32-E72D297353CC}">
              <c16:uniqueId val="{00000000-C06B-4B3B-93B7-90D2E159E055}"/>
            </c:ext>
          </c:extLst>
        </c:ser>
        <c:ser>
          <c:idx val="1"/>
          <c:order val="1"/>
          <c:tx>
            <c:v>Q95</c:v>
          </c:tx>
          <c:spPr>
            <a:ln w="12700">
              <a:solidFill>
                <a:srgbClr val="0000FF"/>
              </a:solidFill>
              <a:prstDash val="sysDash"/>
            </a:ln>
          </c:spPr>
          <c:marker>
            <c:symbol val="none"/>
          </c:marker>
          <c:xVal>
            <c:numRef>
              <c:f>Kalium!$E$57:$E$58</c:f>
              <c:numCache>
                <c:formatCode>m/d/yyyy</c:formatCode>
                <c:ptCount val="2"/>
                <c:pt idx="0">
                  <c:v>1</c:v>
                </c:pt>
                <c:pt idx="1">
                  <c:v>51501</c:v>
                </c:pt>
              </c:numCache>
            </c:numRef>
          </c:xVal>
          <c:yVal>
            <c:numRef>
              <c:f>Kalium!$F$57:$F$58</c:f>
              <c:numCache>
                <c:formatCode>0.000</c:formatCode>
                <c:ptCount val="2"/>
                <c:pt idx="0">
                  <c:v>0</c:v>
                </c:pt>
                <c:pt idx="1">
                  <c:v>0</c:v>
                </c:pt>
              </c:numCache>
            </c:numRef>
          </c:yVal>
          <c:smooth val="0"/>
          <c:extLst>
            <c:ext xmlns:c16="http://schemas.microsoft.com/office/drawing/2014/chart" uri="{C3380CC4-5D6E-409C-BE32-E72D297353CC}">
              <c16:uniqueId val="{00000001-C06B-4B3B-93B7-90D2E159E055}"/>
            </c:ext>
          </c:extLst>
        </c:ser>
        <c:ser>
          <c:idx val="4"/>
          <c:order val="2"/>
          <c:tx>
            <c:v>Q95Log</c:v>
          </c:tx>
          <c:spPr>
            <a:ln w="12700">
              <a:solidFill>
                <a:srgbClr val="FF00FF"/>
              </a:solidFill>
              <a:prstDash val="sysDash"/>
            </a:ln>
          </c:spPr>
          <c:marker>
            <c:symbol val="none"/>
          </c:marker>
          <c:xVal>
            <c:numRef>
              <c:f>Kalium!$E$57:$E$58</c:f>
              <c:numCache>
                <c:formatCode>m/d/yyyy</c:formatCode>
                <c:ptCount val="2"/>
                <c:pt idx="0">
                  <c:v>1</c:v>
                </c:pt>
                <c:pt idx="1">
                  <c:v>51501</c:v>
                </c:pt>
              </c:numCache>
            </c:numRef>
          </c:xVal>
          <c:yVal>
            <c:numRef>
              <c:f>Kalium!$J$57:$J$58</c:f>
              <c:numCache>
                <c:formatCode>0.000</c:formatCode>
                <c:ptCount val="2"/>
                <c:pt idx="0">
                  <c:v>0</c:v>
                </c:pt>
                <c:pt idx="1">
                  <c:v>0</c:v>
                </c:pt>
              </c:numCache>
            </c:numRef>
          </c:yVal>
          <c:smooth val="0"/>
          <c:extLst>
            <c:ext xmlns:c16="http://schemas.microsoft.com/office/drawing/2014/chart" uri="{C3380CC4-5D6E-409C-BE32-E72D297353CC}">
              <c16:uniqueId val="{00000002-C06B-4B3B-93B7-90D2E159E055}"/>
            </c:ext>
          </c:extLst>
        </c:ser>
        <c:ser>
          <c:idx val="9"/>
          <c:order val="3"/>
          <c:tx>
            <c:v>vT</c:v>
          </c:tx>
          <c:spPr>
            <a:ln w="12700">
              <a:solidFill>
                <a:srgbClr val="808080"/>
              </a:solidFill>
              <a:prstDash val="sysDash"/>
            </a:ln>
          </c:spPr>
          <c:marker>
            <c:symbol val="none"/>
          </c:marker>
          <c:xVal>
            <c:numRef>
              <c:f>Kalium!$G$122:$G$123</c:f>
              <c:numCache>
                <c:formatCode>d/m/yyyy;@</c:formatCode>
                <c:ptCount val="2"/>
                <c:pt idx="0">
                  <c:v>0</c:v>
                </c:pt>
                <c:pt idx="1">
                  <c:v>0</c:v>
                </c:pt>
              </c:numCache>
            </c:numRef>
          </c:xVal>
          <c:yVal>
            <c:numRef>
              <c:f>Kalium!$I$122:$I$123</c:f>
              <c:numCache>
                <c:formatCode>General</c:formatCode>
                <c:ptCount val="2"/>
                <c:pt idx="0">
                  <c:v>0</c:v>
                </c:pt>
                <c:pt idx="1">
                  <c:v>0</c:v>
                </c:pt>
              </c:numCache>
            </c:numRef>
          </c:yVal>
          <c:smooth val="0"/>
          <c:extLst>
            <c:ext xmlns:c16="http://schemas.microsoft.com/office/drawing/2014/chart" uri="{C3380CC4-5D6E-409C-BE32-E72D297353CC}">
              <c16:uniqueId val="{00000003-C06B-4B3B-93B7-90D2E159E055}"/>
            </c:ext>
          </c:extLst>
        </c:ser>
        <c:ser>
          <c:idx val="10"/>
          <c:order val="4"/>
          <c:tx>
            <c:v>Trend</c:v>
          </c:tx>
          <c:spPr>
            <a:ln w="12700">
              <a:solidFill>
                <a:srgbClr val="808080"/>
              </a:solidFill>
              <a:prstDash val="solid"/>
            </a:ln>
          </c:spPr>
          <c:marker>
            <c:symbol val="none"/>
          </c:marker>
          <c:xVal>
            <c:numRef>
              <c:f>Kalium!$G$122:$G$123</c:f>
              <c:numCache>
                <c:formatCode>d/m/yyyy;@</c:formatCode>
                <c:ptCount val="2"/>
                <c:pt idx="0">
                  <c:v>0</c:v>
                </c:pt>
                <c:pt idx="1">
                  <c:v>0</c:v>
                </c:pt>
              </c:numCache>
            </c:numRef>
          </c:xVal>
          <c:yVal>
            <c:numRef>
              <c:f>Kalium!$J$122:$J$123</c:f>
              <c:numCache>
                <c:formatCode>General</c:formatCode>
                <c:ptCount val="2"/>
                <c:pt idx="0">
                  <c:v>0</c:v>
                </c:pt>
                <c:pt idx="1">
                  <c:v>0</c:v>
                </c:pt>
              </c:numCache>
            </c:numRef>
          </c:yVal>
          <c:smooth val="0"/>
          <c:extLst>
            <c:ext xmlns:c16="http://schemas.microsoft.com/office/drawing/2014/chart" uri="{C3380CC4-5D6E-409C-BE32-E72D297353CC}">
              <c16:uniqueId val="{00000004-C06B-4B3B-93B7-90D2E159E055}"/>
            </c:ext>
          </c:extLst>
        </c:ser>
        <c:ser>
          <c:idx val="2"/>
          <c:order val="5"/>
          <c:tx>
            <c:v>Q95u</c:v>
          </c:tx>
          <c:spPr>
            <a:ln w="12700">
              <a:solidFill>
                <a:srgbClr val="0000FF"/>
              </a:solidFill>
              <a:prstDash val="sysDash"/>
            </a:ln>
          </c:spPr>
          <c:marker>
            <c:symbol val="none"/>
          </c:marker>
          <c:xVal>
            <c:numRef>
              <c:f>Kalium!$E$57:$E$58</c:f>
              <c:numCache>
                <c:formatCode>m/d/yyyy</c:formatCode>
                <c:ptCount val="2"/>
                <c:pt idx="0">
                  <c:v>1</c:v>
                </c:pt>
                <c:pt idx="1">
                  <c:v>51501</c:v>
                </c:pt>
              </c:numCache>
            </c:numRef>
          </c:xVal>
          <c:yVal>
            <c:numRef>
              <c:f>Kalium!$G$57:$G$58</c:f>
              <c:numCache>
                <c:formatCode>0.000</c:formatCode>
                <c:ptCount val="2"/>
                <c:pt idx="0">
                  <c:v>0</c:v>
                </c:pt>
                <c:pt idx="1">
                  <c:v>0</c:v>
                </c:pt>
              </c:numCache>
            </c:numRef>
          </c:yVal>
          <c:smooth val="0"/>
          <c:extLst>
            <c:ext xmlns:c16="http://schemas.microsoft.com/office/drawing/2014/chart" uri="{C3380CC4-5D6E-409C-BE32-E72D297353CC}">
              <c16:uniqueId val="{00000005-C06B-4B3B-93B7-90D2E159E055}"/>
            </c:ext>
          </c:extLst>
        </c:ser>
        <c:ser>
          <c:idx val="3"/>
          <c:order val="6"/>
          <c:tx>
            <c:v>Q98</c:v>
          </c:tx>
          <c:spPr>
            <a:ln w="12700">
              <a:solidFill>
                <a:srgbClr val="0000FF"/>
              </a:solidFill>
              <a:prstDash val="solid"/>
            </a:ln>
          </c:spPr>
          <c:marker>
            <c:symbol val="none"/>
          </c:marker>
          <c:xVal>
            <c:numRef>
              <c:f>Kalium!$E$57:$E$58</c:f>
              <c:numCache>
                <c:formatCode>m/d/yyyy</c:formatCode>
                <c:ptCount val="2"/>
                <c:pt idx="0">
                  <c:v>1</c:v>
                </c:pt>
                <c:pt idx="1">
                  <c:v>51501</c:v>
                </c:pt>
              </c:numCache>
            </c:numRef>
          </c:xVal>
          <c:yVal>
            <c:numRef>
              <c:f>Kalium!$H$57:$H$58</c:f>
              <c:numCache>
                <c:formatCode>0.000</c:formatCode>
                <c:ptCount val="2"/>
                <c:pt idx="0">
                  <c:v>0</c:v>
                </c:pt>
                <c:pt idx="1">
                  <c:v>0</c:v>
                </c:pt>
              </c:numCache>
            </c:numRef>
          </c:yVal>
          <c:smooth val="0"/>
          <c:extLst>
            <c:ext xmlns:c16="http://schemas.microsoft.com/office/drawing/2014/chart" uri="{C3380CC4-5D6E-409C-BE32-E72D297353CC}">
              <c16:uniqueId val="{00000006-C06B-4B3B-93B7-90D2E159E055}"/>
            </c:ext>
          </c:extLst>
        </c:ser>
        <c:ser>
          <c:idx val="6"/>
          <c:order val="7"/>
          <c:tx>
            <c:v>Q98Log</c:v>
          </c:tx>
          <c:spPr>
            <a:ln w="12700">
              <a:solidFill>
                <a:srgbClr val="CC00FF"/>
              </a:solidFill>
            </a:ln>
          </c:spPr>
          <c:marker>
            <c:symbol val="none"/>
          </c:marker>
          <c:xVal>
            <c:numRef>
              <c:f>Kalium!$E$57:$E$58</c:f>
              <c:numCache>
                <c:formatCode>m/d/yyyy</c:formatCode>
                <c:ptCount val="2"/>
                <c:pt idx="0">
                  <c:v>1</c:v>
                </c:pt>
                <c:pt idx="1">
                  <c:v>51501</c:v>
                </c:pt>
              </c:numCache>
            </c:numRef>
          </c:xVal>
          <c:yVal>
            <c:numRef>
              <c:f>Kalium!$K$57:$K$58</c:f>
              <c:numCache>
                <c:formatCode>0.000</c:formatCode>
                <c:ptCount val="2"/>
                <c:pt idx="0">
                  <c:v>0</c:v>
                </c:pt>
                <c:pt idx="1">
                  <c:v>0</c:v>
                </c:pt>
              </c:numCache>
            </c:numRef>
          </c:yVal>
          <c:smooth val="0"/>
          <c:extLst>
            <c:ext xmlns:c16="http://schemas.microsoft.com/office/drawing/2014/chart" uri="{C3380CC4-5D6E-409C-BE32-E72D297353CC}">
              <c16:uniqueId val="{00000007-C06B-4B3B-93B7-90D2E159E055}"/>
            </c:ext>
          </c:extLst>
        </c:ser>
        <c:dLbls>
          <c:showLegendKey val="0"/>
          <c:showVal val="0"/>
          <c:showCatName val="0"/>
          <c:showSerName val="0"/>
          <c:showPercent val="0"/>
          <c:showBubbleSize val="0"/>
        </c:dLbls>
        <c:axId val="138103808"/>
        <c:axId val="138113792"/>
      </c:scatterChart>
      <c:valAx>
        <c:axId val="138103808"/>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38113792"/>
        <c:crossesAt val="0"/>
        <c:crossBetween val="midCat"/>
        <c:majorUnit val="1461"/>
        <c:minorUnit val="365.25"/>
      </c:valAx>
      <c:valAx>
        <c:axId val="138113792"/>
        <c:scaling>
          <c:orientation val="minMax"/>
          <c:max val="2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38103808"/>
        <c:crossesAt val="0"/>
        <c:crossBetween val="midCat"/>
        <c:majorUnit val="5"/>
        <c:minorUnit val="1"/>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Magnesium!$F$63:$F$113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Magnesium!$G$63:$G$113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0374-4EEB-91BD-DB0838CCE8A0}"/>
            </c:ext>
          </c:extLst>
        </c:ser>
        <c:ser>
          <c:idx val="1"/>
          <c:order val="1"/>
          <c:tx>
            <c:v>LogNormalverteilung</c:v>
          </c:tx>
          <c:spPr>
            <a:ln w="25400">
              <a:solidFill>
                <a:srgbClr val="FF00FF"/>
              </a:solidFill>
              <a:prstDash val="solid"/>
            </a:ln>
          </c:spPr>
          <c:marker>
            <c:symbol val="none"/>
          </c:marker>
          <c:xVal>
            <c:numRef>
              <c:f>Magnesium!$I$63:$I$113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Magnesium!$J$63:$J$113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0374-4EEB-91BD-DB0838CCE8A0}"/>
            </c:ext>
          </c:extLst>
        </c:ser>
        <c:ser>
          <c:idx val="2"/>
          <c:order val="2"/>
          <c:tx>
            <c:v>Histogramm</c:v>
          </c:tx>
          <c:spPr>
            <a:ln w="25400">
              <a:solidFill>
                <a:srgbClr val="969696"/>
              </a:solidFill>
              <a:prstDash val="lgDashDot"/>
            </a:ln>
          </c:spPr>
          <c:marker>
            <c:symbol val="none"/>
          </c:marker>
          <c:xVal>
            <c:numRef>
              <c:f>Magnesium!$T$46:$T$97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Magnesium!$U$46:$U$97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0374-4EEB-91BD-DB0838CCE8A0}"/>
            </c:ext>
          </c:extLst>
        </c:ser>
        <c:ser>
          <c:idx val="3"/>
          <c:order val="3"/>
          <c:tx>
            <c:v>Q95 No</c:v>
          </c:tx>
          <c:spPr>
            <a:ln w="12700">
              <a:solidFill>
                <a:srgbClr val="0000FF"/>
              </a:solidFill>
              <a:prstDash val="sysDash"/>
            </a:ln>
          </c:spPr>
          <c:marker>
            <c:symbol val="none"/>
          </c:marker>
          <c:xVal>
            <c:numRef>
              <c:f>Magnesium!$U$3:$V$3</c:f>
              <c:numCache>
                <c:formatCode>0.000</c:formatCode>
                <c:ptCount val="2"/>
                <c:pt idx="0">
                  <c:v>0</c:v>
                </c:pt>
                <c:pt idx="1">
                  <c:v>0</c:v>
                </c:pt>
              </c:numCache>
            </c:numRef>
          </c:xVal>
          <c:yVal>
            <c:numRef>
              <c:f>Magnesium!$U$2:$V$2</c:f>
              <c:numCache>
                <c:formatCode>General</c:formatCode>
                <c:ptCount val="2"/>
                <c:pt idx="0">
                  <c:v>0</c:v>
                </c:pt>
                <c:pt idx="1">
                  <c:v>1000</c:v>
                </c:pt>
              </c:numCache>
            </c:numRef>
          </c:yVal>
          <c:smooth val="0"/>
          <c:extLst>
            <c:ext xmlns:c16="http://schemas.microsoft.com/office/drawing/2014/chart" uri="{C3380CC4-5D6E-409C-BE32-E72D297353CC}">
              <c16:uniqueId val="{00000003-0374-4EEB-91BD-DB0838CCE8A0}"/>
            </c:ext>
          </c:extLst>
        </c:ser>
        <c:ser>
          <c:idx val="4"/>
          <c:order val="4"/>
          <c:tx>
            <c:v>Q95 Lo</c:v>
          </c:tx>
          <c:spPr>
            <a:ln w="12700">
              <a:solidFill>
                <a:srgbClr val="FF00FF"/>
              </a:solidFill>
              <a:prstDash val="sysDash"/>
            </a:ln>
          </c:spPr>
          <c:marker>
            <c:symbol val="none"/>
          </c:marker>
          <c:xVal>
            <c:numRef>
              <c:f>Magnesium!$U$4:$V$4</c:f>
              <c:numCache>
                <c:formatCode>0.000</c:formatCode>
                <c:ptCount val="2"/>
                <c:pt idx="0">
                  <c:v>0</c:v>
                </c:pt>
                <c:pt idx="1">
                  <c:v>0</c:v>
                </c:pt>
              </c:numCache>
            </c:numRef>
          </c:xVal>
          <c:yVal>
            <c:numRef>
              <c:f>Magnesium!$U$2:$V$2</c:f>
              <c:numCache>
                <c:formatCode>General</c:formatCode>
                <c:ptCount val="2"/>
                <c:pt idx="0">
                  <c:v>0</c:v>
                </c:pt>
                <c:pt idx="1">
                  <c:v>1000</c:v>
                </c:pt>
              </c:numCache>
            </c:numRef>
          </c:yVal>
          <c:smooth val="0"/>
          <c:extLst>
            <c:ext xmlns:c16="http://schemas.microsoft.com/office/drawing/2014/chart" uri="{C3380CC4-5D6E-409C-BE32-E72D297353CC}">
              <c16:uniqueId val="{00000004-0374-4EEB-91BD-DB0838CCE8A0}"/>
            </c:ext>
          </c:extLst>
        </c:ser>
        <c:ser>
          <c:idx val="5"/>
          <c:order val="5"/>
          <c:tx>
            <c:v>Q98 No</c:v>
          </c:tx>
          <c:spPr>
            <a:ln w="12700">
              <a:solidFill>
                <a:srgbClr val="0000FF"/>
              </a:solidFill>
              <a:prstDash val="solid"/>
            </a:ln>
          </c:spPr>
          <c:marker>
            <c:symbol val="none"/>
          </c:marker>
          <c:xVal>
            <c:numRef>
              <c:f>Magnesium!$U$5:$V$5</c:f>
              <c:numCache>
                <c:formatCode>0.000</c:formatCode>
                <c:ptCount val="2"/>
                <c:pt idx="0">
                  <c:v>0</c:v>
                </c:pt>
                <c:pt idx="1">
                  <c:v>0</c:v>
                </c:pt>
              </c:numCache>
            </c:numRef>
          </c:xVal>
          <c:yVal>
            <c:numRef>
              <c:f>Magnesium!$U$2:$V$2</c:f>
              <c:numCache>
                <c:formatCode>General</c:formatCode>
                <c:ptCount val="2"/>
                <c:pt idx="0">
                  <c:v>0</c:v>
                </c:pt>
                <c:pt idx="1">
                  <c:v>1000</c:v>
                </c:pt>
              </c:numCache>
            </c:numRef>
          </c:yVal>
          <c:smooth val="0"/>
          <c:extLst>
            <c:ext xmlns:c16="http://schemas.microsoft.com/office/drawing/2014/chart" uri="{C3380CC4-5D6E-409C-BE32-E72D297353CC}">
              <c16:uniqueId val="{00000005-0374-4EEB-91BD-DB0838CCE8A0}"/>
            </c:ext>
          </c:extLst>
        </c:ser>
        <c:ser>
          <c:idx val="6"/>
          <c:order val="6"/>
          <c:tx>
            <c:v>Q98 Lo</c:v>
          </c:tx>
          <c:spPr>
            <a:ln w="12700">
              <a:solidFill>
                <a:srgbClr val="FF00FF"/>
              </a:solidFill>
              <a:prstDash val="solid"/>
            </a:ln>
          </c:spPr>
          <c:marker>
            <c:symbol val="none"/>
          </c:marker>
          <c:xVal>
            <c:numRef>
              <c:f>Magnesium!$U$6:$V$6</c:f>
              <c:numCache>
                <c:formatCode>0.000</c:formatCode>
                <c:ptCount val="2"/>
                <c:pt idx="0">
                  <c:v>0</c:v>
                </c:pt>
                <c:pt idx="1">
                  <c:v>0</c:v>
                </c:pt>
              </c:numCache>
            </c:numRef>
          </c:xVal>
          <c:yVal>
            <c:numRef>
              <c:f>Magnesium!$U$2:$V$2</c:f>
              <c:numCache>
                <c:formatCode>General</c:formatCode>
                <c:ptCount val="2"/>
                <c:pt idx="0">
                  <c:v>0</c:v>
                </c:pt>
                <c:pt idx="1">
                  <c:v>1000</c:v>
                </c:pt>
              </c:numCache>
            </c:numRef>
          </c:yVal>
          <c:smooth val="0"/>
          <c:extLst>
            <c:ext xmlns:c16="http://schemas.microsoft.com/office/drawing/2014/chart" uri="{C3380CC4-5D6E-409C-BE32-E72D297353CC}">
              <c16:uniqueId val="{00000006-0374-4EEB-91BD-DB0838CCE8A0}"/>
            </c:ext>
          </c:extLst>
        </c:ser>
        <c:ser>
          <c:idx val="7"/>
          <c:order val="7"/>
          <c:tx>
            <c:v>Q95u</c:v>
          </c:tx>
          <c:spPr>
            <a:ln w="12700">
              <a:solidFill>
                <a:srgbClr val="0000FF"/>
              </a:solidFill>
              <a:prstDash val="sysDash"/>
            </a:ln>
          </c:spPr>
          <c:marker>
            <c:symbol val="none"/>
          </c:marker>
          <c:xVal>
            <c:numRef>
              <c:f>Magnesium!$U$7:$V$7</c:f>
              <c:numCache>
                <c:formatCode>0.000</c:formatCode>
                <c:ptCount val="2"/>
                <c:pt idx="0">
                  <c:v>0</c:v>
                </c:pt>
                <c:pt idx="1">
                  <c:v>0</c:v>
                </c:pt>
              </c:numCache>
            </c:numRef>
          </c:xVal>
          <c:yVal>
            <c:numRef>
              <c:f>Magnesium!$U$2:$V$2</c:f>
              <c:numCache>
                <c:formatCode>General</c:formatCode>
                <c:ptCount val="2"/>
                <c:pt idx="0">
                  <c:v>0</c:v>
                </c:pt>
                <c:pt idx="1">
                  <c:v>1000</c:v>
                </c:pt>
              </c:numCache>
            </c:numRef>
          </c:yVal>
          <c:smooth val="0"/>
          <c:extLst>
            <c:ext xmlns:c16="http://schemas.microsoft.com/office/drawing/2014/chart" uri="{C3380CC4-5D6E-409C-BE32-E72D297353CC}">
              <c16:uniqueId val="{00000007-0374-4EEB-91BD-DB0838CCE8A0}"/>
            </c:ext>
          </c:extLst>
        </c:ser>
        <c:ser>
          <c:idx val="8"/>
          <c:order val="8"/>
          <c:tx>
            <c:v>Q95u Lo</c:v>
          </c:tx>
          <c:spPr>
            <a:ln w="12700">
              <a:solidFill>
                <a:srgbClr val="FF00FF"/>
              </a:solidFill>
              <a:prstDash val="sysDash"/>
            </a:ln>
          </c:spPr>
          <c:marker>
            <c:symbol val="none"/>
          </c:marker>
          <c:xVal>
            <c:numRef>
              <c:f>Magnesium!$U$8:$V$8</c:f>
              <c:numCache>
                <c:formatCode>0.000</c:formatCode>
                <c:ptCount val="2"/>
                <c:pt idx="0">
                  <c:v>0</c:v>
                </c:pt>
                <c:pt idx="1">
                  <c:v>0</c:v>
                </c:pt>
              </c:numCache>
            </c:numRef>
          </c:xVal>
          <c:yVal>
            <c:numRef>
              <c:f>Magnesium!$U$2:$V$2</c:f>
              <c:numCache>
                <c:formatCode>General</c:formatCode>
                <c:ptCount val="2"/>
                <c:pt idx="0">
                  <c:v>0</c:v>
                </c:pt>
                <c:pt idx="1">
                  <c:v>1000</c:v>
                </c:pt>
              </c:numCache>
            </c:numRef>
          </c:yVal>
          <c:smooth val="0"/>
          <c:extLst>
            <c:ext xmlns:c16="http://schemas.microsoft.com/office/drawing/2014/chart" uri="{C3380CC4-5D6E-409C-BE32-E72D297353CC}">
              <c16:uniqueId val="{00000008-0374-4EEB-91BD-DB0838CCE8A0}"/>
            </c:ext>
          </c:extLst>
        </c:ser>
        <c:ser>
          <c:idx val="9"/>
          <c:order val="9"/>
          <c:tx>
            <c:v>Median</c:v>
          </c:tx>
          <c:spPr>
            <a:ln w="12700">
              <a:solidFill>
                <a:srgbClr val="969696"/>
              </a:solidFill>
              <a:prstDash val="lgDashDotDot"/>
            </a:ln>
          </c:spPr>
          <c:marker>
            <c:symbol val="none"/>
          </c:marker>
          <c:xVal>
            <c:numRef>
              <c:f>Magnesium!$U$11:$V$11</c:f>
              <c:numCache>
                <c:formatCode>0.000</c:formatCode>
                <c:ptCount val="2"/>
                <c:pt idx="0">
                  <c:v>0</c:v>
                </c:pt>
                <c:pt idx="1">
                  <c:v>0</c:v>
                </c:pt>
              </c:numCache>
            </c:numRef>
          </c:xVal>
          <c:yVal>
            <c:numRef>
              <c:f>Magnesium!$U$2:$V$2</c:f>
              <c:numCache>
                <c:formatCode>General</c:formatCode>
                <c:ptCount val="2"/>
                <c:pt idx="0">
                  <c:v>0</c:v>
                </c:pt>
                <c:pt idx="1">
                  <c:v>1000</c:v>
                </c:pt>
              </c:numCache>
            </c:numRef>
          </c:yVal>
          <c:smooth val="0"/>
          <c:extLst>
            <c:ext xmlns:c16="http://schemas.microsoft.com/office/drawing/2014/chart" uri="{C3380CC4-5D6E-409C-BE32-E72D297353CC}">
              <c16:uniqueId val="{00000009-0374-4EEB-91BD-DB0838CCE8A0}"/>
            </c:ext>
          </c:extLst>
        </c:ser>
        <c:dLbls>
          <c:showLegendKey val="0"/>
          <c:showVal val="0"/>
          <c:showCatName val="0"/>
          <c:showSerName val="0"/>
          <c:showPercent val="0"/>
          <c:showBubbleSize val="0"/>
        </c:dLbls>
        <c:axId val="138200576"/>
        <c:axId val="138202112"/>
      </c:scatterChart>
      <c:valAx>
        <c:axId val="138200576"/>
        <c:scaling>
          <c:orientation val="minMax"/>
          <c:max val="4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38202112"/>
        <c:crosses val="autoZero"/>
        <c:crossBetween val="midCat"/>
        <c:majorUnit val="10"/>
        <c:minorUnit val="0.5"/>
      </c:valAx>
      <c:valAx>
        <c:axId val="138202112"/>
        <c:scaling>
          <c:orientation val="minMax"/>
          <c:max val="0.2"/>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38200576"/>
        <c:crosses val="autoZero"/>
        <c:crossBetween val="midCat"/>
        <c:majorUnit val="0.05"/>
        <c:minorUnit val="0.05"/>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Magnesium!$M$3:$M$252</c:f>
              <c:numCache>
                <c:formatCode>d/m/yyyy;@</c:formatCode>
                <c:ptCount val="250"/>
              </c:numCache>
            </c:numRef>
          </c:xVal>
          <c:yVal>
            <c:numRef>
              <c:f>Magnesium!$N$3:$N$252</c:f>
              <c:numCache>
                <c:formatCode>General</c:formatCode>
                <c:ptCount val="250"/>
              </c:numCache>
            </c:numRef>
          </c:yVal>
          <c:smooth val="0"/>
          <c:extLst>
            <c:ext xmlns:c16="http://schemas.microsoft.com/office/drawing/2014/chart" uri="{C3380CC4-5D6E-409C-BE32-E72D297353CC}">
              <c16:uniqueId val="{00000000-40B0-4A66-B8F7-558BA2203E49}"/>
            </c:ext>
          </c:extLst>
        </c:ser>
        <c:ser>
          <c:idx val="1"/>
          <c:order val="1"/>
          <c:tx>
            <c:v>Q95</c:v>
          </c:tx>
          <c:spPr>
            <a:ln w="12700">
              <a:solidFill>
                <a:srgbClr val="0000FF"/>
              </a:solidFill>
              <a:prstDash val="sysDash"/>
            </a:ln>
          </c:spPr>
          <c:marker>
            <c:symbol val="none"/>
          </c:marker>
          <c:xVal>
            <c:numRef>
              <c:f>Magnesium!$E$57:$E$58</c:f>
              <c:numCache>
                <c:formatCode>m/d/yyyy</c:formatCode>
                <c:ptCount val="2"/>
                <c:pt idx="0">
                  <c:v>1</c:v>
                </c:pt>
                <c:pt idx="1">
                  <c:v>51501</c:v>
                </c:pt>
              </c:numCache>
            </c:numRef>
          </c:xVal>
          <c:yVal>
            <c:numRef>
              <c:f>Magnesium!$F$57:$F$58</c:f>
              <c:numCache>
                <c:formatCode>0.000</c:formatCode>
                <c:ptCount val="2"/>
                <c:pt idx="0">
                  <c:v>0</c:v>
                </c:pt>
                <c:pt idx="1">
                  <c:v>0</c:v>
                </c:pt>
              </c:numCache>
            </c:numRef>
          </c:yVal>
          <c:smooth val="0"/>
          <c:extLst>
            <c:ext xmlns:c16="http://schemas.microsoft.com/office/drawing/2014/chart" uri="{C3380CC4-5D6E-409C-BE32-E72D297353CC}">
              <c16:uniqueId val="{00000001-40B0-4A66-B8F7-558BA2203E49}"/>
            </c:ext>
          </c:extLst>
        </c:ser>
        <c:ser>
          <c:idx val="4"/>
          <c:order val="2"/>
          <c:tx>
            <c:v>Q95Log</c:v>
          </c:tx>
          <c:spPr>
            <a:ln w="12700">
              <a:solidFill>
                <a:srgbClr val="FF00FF"/>
              </a:solidFill>
              <a:prstDash val="sysDash"/>
            </a:ln>
          </c:spPr>
          <c:marker>
            <c:symbol val="none"/>
          </c:marker>
          <c:xVal>
            <c:numRef>
              <c:f>Magnesium!$E$57:$E$58</c:f>
              <c:numCache>
                <c:formatCode>m/d/yyyy</c:formatCode>
                <c:ptCount val="2"/>
                <c:pt idx="0">
                  <c:v>1</c:v>
                </c:pt>
                <c:pt idx="1">
                  <c:v>51501</c:v>
                </c:pt>
              </c:numCache>
            </c:numRef>
          </c:xVal>
          <c:yVal>
            <c:numRef>
              <c:f>Magnesium!$J$57:$J$58</c:f>
              <c:numCache>
                <c:formatCode>0.000</c:formatCode>
                <c:ptCount val="2"/>
                <c:pt idx="0">
                  <c:v>0</c:v>
                </c:pt>
                <c:pt idx="1">
                  <c:v>0</c:v>
                </c:pt>
              </c:numCache>
            </c:numRef>
          </c:yVal>
          <c:smooth val="0"/>
          <c:extLst>
            <c:ext xmlns:c16="http://schemas.microsoft.com/office/drawing/2014/chart" uri="{C3380CC4-5D6E-409C-BE32-E72D297353CC}">
              <c16:uniqueId val="{00000002-40B0-4A66-B8F7-558BA2203E49}"/>
            </c:ext>
          </c:extLst>
        </c:ser>
        <c:ser>
          <c:idx val="9"/>
          <c:order val="3"/>
          <c:tx>
            <c:v>vT</c:v>
          </c:tx>
          <c:spPr>
            <a:ln w="12700">
              <a:solidFill>
                <a:srgbClr val="808080"/>
              </a:solidFill>
              <a:prstDash val="sysDash"/>
            </a:ln>
          </c:spPr>
          <c:marker>
            <c:symbol val="none"/>
          </c:marker>
          <c:xVal>
            <c:numRef>
              <c:f>Magnesium!$G$122:$G$123</c:f>
              <c:numCache>
                <c:formatCode>d/m/yyyy;@</c:formatCode>
                <c:ptCount val="2"/>
                <c:pt idx="0">
                  <c:v>0</c:v>
                </c:pt>
                <c:pt idx="1">
                  <c:v>0</c:v>
                </c:pt>
              </c:numCache>
            </c:numRef>
          </c:xVal>
          <c:yVal>
            <c:numRef>
              <c:f>Magnesium!$I$122:$I$123</c:f>
              <c:numCache>
                <c:formatCode>General</c:formatCode>
                <c:ptCount val="2"/>
                <c:pt idx="0">
                  <c:v>0</c:v>
                </c:pt>
                <c:pt idx="1">
                  <c:v>0</c:v>
                </c:pt>
              </c:numCache>
            </c:numRef>
          </c:yVal>
          <c:smooth val="0"/>
          <c:extLst>
            <c:ext xmlns:c16="http://schemas.microsoft.com/office/drawing/2014/chart" uri="{C3380CC4-5D6E-409C-BE32-E72D297353CC}">
              <c16:uniqueId val="{00000003-40B0-4A66-B8F7-558BA2203E49}"/>
            </c:ext>
          </c:extLst>
        </c:ser>
        <c:ser>
          <c:idx val="10"/>
          <c:order val="4"/>
          <c:tx>
            <c:v>Trend</c:v>
          </c:tx>
          <c:spPr>
            <a:ln w="12700">
              <a:solidFill>
                <a:srgbClr val="808080"/>
              </a:solidFill>
              <a:prstDash val="solid"/>
            </a:ln>
          </c:spPr>
          <c:marker>
            <c:symbol val="none"/>
          </c:marker>
          <c:xVal>
            <c:numRef>
              <c:f>Magnesium!$G$122:$G$123</c:f>
              <c:numCache>
                <c:formatCode>d/m/yyyy;@</c:formatCode>
                <c:ptCount val="2"/>
                <c:pt idx="0">
                  <c:v>0</c:v>
                </c:pt>
                <c:pt idx="1">
                  <c:v>0</c:v>
                </c:pt>
              </c:numCache>
            </c:numRef>
          </c:xVal>
          <c:yVal>
            <c:numRef>
              <c:f>Magnesium!$J$122:$J$123</c:f>
              <c:numCache>
                <c:formatCode>General</c:formatCode>
                <c:ptCount val="2"/>
                <c:pt idx="0">
                  <c:v>0</c:v>
                </c:pt>
                <c:pt idx="1">
                  <c:v>0</c:v>
                </c:pt>
              </c:numCache>
            </c:numRef>
          </c:yVal>
          <c:smooth val="0"/>
          <c:extLst>
            <c:ext xmlns:c16="http://schemas.microsoft.com/office/drawing/2014/chart" uri="{C3380CC4-5D6E-409C-BE32-E72D297353CC}">
              <c16:uniqueId val="{00000004-40B0-4A66-B8F7-558BA2203E49}"/>
            </c:ext>
          </c:extLst>
        </c:ser>
        <c:ser>
          <c:idx val="2"/>
          <c:order val="5"/>
          <c:tx>
            <c:v>Q95u</c:v>
          </c:tx>
          <c:spPr>
            <a:ln w="12700">
              <a:solidFill>
                <a:srgbClr val="0000FF"/>
              </a:solidFill>
              <a:prstDash val="sysDash"/>
            </a:ln>
          </c:spPr>
          <c:marker>
            <c:symbol val="none"/>
          </c:marker>
          <c:xVal>
            <c:numRef>
              <c:f>Magnesium!$E$57:$E$58</c:f>
              <c:numCache>
                <c:formatCode>m/d/yyyy</c:formatCode>
                <c:ptCount val="2"/>
                <c:pt idx="0">
                  <c:v>1</c:v>
                </c:pt>
                <c:pt idx="1">
                  <c:v>51501</c:v>
                </c:pt>
              </c:numCache>
            </c:numRef>
          </c:xVal>
          <c:yVal>
            <c:numRef>
              <c:f>Magnesium!$G$57:$G$58</c:f>
              <c:numCache>
                <c:formatCode>0.000</c:formatCode>
                <c:ptCount val="2"/>
                <c:pt idx="0">
                  <c:v>0</c:v>
                </c:pt>
                <c:pt idx="1">
                  <c:v>0</c:v>
                </c:pt>
              </c:numCache>
            </c:numRef>
          </c:yVal>
          <c:smooth val="0"/>
          <c:extLst>
            <c:ext xmlns:c16="http://schemas.microsoft.com/office/drawing/2014/chart" uri="{C3380CC4-5D6E-409C-BE32-E72D297353CC}">
              <c16:uniqueId val="{00000005-40B0-4A66-B8F7-558BA2203E49}"/>
            </c:ext>
          </c:extLst>
        </c:ser>
        <c:ser>
          <c:idx val="3"/>
          <c:order val="6"/>
          <c:tx>
            <c:v>Q98</c:v>
          </c:tx>
          <c:spPr>
            <a:ln w="12700">
              <a:solidFill>
                <a:srgbClr val="0000FF"/>
              </a:solidFill>
              <a:prstDash val="solid"/>
            </a:ln>
          </c:spPr>
          <c:marker>
            <c:symbol val="none"/>
          </c:marker>
          <c:xVal>
            <c:numRef>
              <c:f>Magnesium!$E$57:$E$58</c:f>
              <c:numCache>
                <c:formatCode>m/d/yyyy</c:formatCode>
                <c:ptCount val="2"/>
                <c:pt idx="0">
                  <c:v>1</c:v>
                </c:pt>
                <c:pt idx="1">
                  <c:v>51501</c:v>
                </c:pt>
              </c:numCache>
            </c:numRef>
          </c:xVal>
          <c:yVal>
            <c:numRef>
              <c:f>Magnesium!$H$57:$H$58</c:f>
              <c:numCache>
                <c:formatCode>0.000</c:formatCode>
                <c:ptCount val="2"/>
                <c:pt idx="0">
                  <c:v>0</c:v>
                </c:pt>
                <c:pt idx="1">
                  <c:v>0</c:v>
                </c:pt>
              </c:numCache>
            </c:numRef>
          </c:yVal>
          <c:smooth val="0"/>
          <c:extLst>
            <c:ext xmlns:c16="http://schemas.microsoft.com/office/drawing/2014/chart" uri="{C3380CC4-5D6E-409C-BE32-E72D297353CC}">
              <c16:uniqueId val="{00000006-40B0-4A66-B8F7-558BA2203E49}"/>
            </c:ext>
          </c:extLst>
        </c:ser>
        <c:ser>
          <c:idx val="6"/>
          <c:order val="7"/>
          <c:tx>
            <c:v>Q98Log</c:v>
          </c:tx>
          <c:spPr>
            <a:ln w="12700">
              <a:solidFill>
                <a:srgbClr val="CC00FF"/>
              </a:solidFill>
            </a:ln>
          </c:spPr>
          <c:marker>
            <c:symbol val="none"/>
          </c:marker>
          <c:xVal>
            <c:numRef>
              <c:f>Magnesium!$E$57:$E$58</c:f>
              <c:numCache>
                <c:formatCode>m/d/yyyy</c:formatCode>
                <c:ptCount val="2"/>
                <c:pt idx="0">
                  <c:v>1</c:v>
                </c:pt>
                <c:pt idx="1">
                  <c:v>51501</c:v>
                </c:pt>
              </c:numCache>
            </c:numRef>
          </c:xVal>
          <c:yVal>
            <c:numRef>
              <c:f>Magnesium!$K$57:$K$58</c:f>
              <c:numCache>
                <c:formatCode>0.000</c:formatCode>
                <c:ptCount val="2"/>
                <c:pt idx="0">
                  <c:v>0</c:v>
                </c:pt>
                <c:pt idx="1">
                  <c:v>0</c:v>
                </c:pt>
              </c:numCache>
            </c:numRef>
          </c:yVal>
          <c:smooth val="0"/>
          <c:extLst>
            <c:ext xmlns:c16="http://schemas.microsoft.com/office/drawing/2014/chart" uri="{C3380CC4-5D6E-409C-BE32-E72D297353CC}">
              <c16:uniqueId val="{00000007-40B0-4A66-B8F7-558BA2203E49}"/>
            </c:ext>
          </c:extLst>
        </c:ser>
        <c:dLbls>
          <c:showLegendKey val="0"/>
          <c:showVal val="0"/>
          <c:showCatName val="0"/>
          <c:showSerName val="0"/>
          <c:showPercent val="0"/>
          <c:showBubbleSize val="0"/>
        </c:dLbls>
        <c:axId val="149852160"/>
        <c:axId val="149853696"/>
      </c:scatterChart>
      <c:valAx>
        <c:axId val="149852160"/>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49853696"/>
        <c:crossesAt val="0"/>
        <c:crossBetween val="midCat"/>
        <c:majorUnit val="1461"/>
        <c:minorUnit val="365.25"/>
      </c:valAx>
      <c:valAx>
        <c:axId val="149853696"/>
        <c:scaling>
          <c:orientation val="minMax"/>
          <c:max val="3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49852160"/>
        <c:crossesAt val="0"/>
        <c:crossBetween val="midCat"/>
        <c:majorUnit val="5"/>
        <c:minorUnit val="1"/>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Calcium!$F$63:$F$113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Calcium!$G$63:$G$113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2063-402B-B4FA-9BEF37512F7D}"/>
            </c:ext>
          </c:extLst>
        </c:ser>
        <c:ser>
          <c:idx val="1"/>
          <c:order val="1"/>
          <c:tx>
            <c:v>LogNormalverteilung</c:v>
          </c:tx>
          <c:spPr>
            <a:ln w="25400">
              <a:solidFill>
                <a:srgbClr val="FF00FF"/>
              </a:solidFill>
              <a:prstDash val="solid"/>
            </a:ln>
          </c:spPr>
          <c:marker>
            <c:symbol val="none"/>
          </c:marker>
          <c:xVal>
            <c:numRef>
              <c:f>Calcium!$I$63:$I$113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Calcium!$J$63:$J$113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2063-402B-B4FA-9BEF37512F7D}"/>
            </c:ext>
          </c:extLst>
        </c:ser>
        <c:ser>
          <c:idx val="2"/>
          <c:order val="2"/>
          <c:tx>
            <c:v>Histogramm</c:v>
          </c:tx>
          <c:spPr>
            <a:ln w="25400">
              <a:solidFill>
                <a:srgbClr val="969696"/>
              </a:solidFill>
              <a:prstDash val="lgDashDot"/>
            </a:ln>
          </c:spPr>
          <c:marker>
            <c:symbol val="none"/>
          </c:marker>
          <c:xVal>
            <c:numRef>
              <c:f>Calcium!$T$46:$T$97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Calcium!$U$46:$U$97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2063-402B-B4FA-9BEF37512F7D}"/>
            </c:ext>
          </c:extLst>
        </c:ser>
        <c:ser>
          <c:idx val="3"/>
          <c:order val="3"/>
          <c:tx>
            <c:v>Q95 No</c:v>
          </c:tx>
          <c:spPr>
            <a:ln w="12700">
              <a:solidFill>
                <a:srgbClr val="0000FF"/>
              </a:solidFill>
              <a:prstDash val="sysDash"/>
            </a:ln>
          </c:spPr>
          <c:marker>
            <c:symbol val="none"/>
          </c:marker>
          <c:xVal>
            <c:numRef>
              <c:f>Calcium!$U$3:$V$3</c:f>
              <c:numCache>
                <c:formatCode>0.000</c:formatCode>
                <c:ptCount val="2"/>
                <c:pt idx="0">
                  <c:v>0</c:v>
                </c:pt>
                <c:pt idx="1">
                  <c:v>0</c:v>
                </c:pt>
              </c:numCache>
            </c:numRef>
          </c:xVal>
          <c:yVal>
            <c:numRef>
              <c:f>Calcium!$U$2:$V$2</c:f>
              <c:numCache>
                <c:formatCode>General</c:formatCode>
                <c:ptCount val="2"/>
                <c:pt idx="0">
                  <c:v>0</c:v>
                </c:pt>
                <c:pt idx="1">
                  <c:v>1000</c:v>
                </c:pt>
              </c:numCache>
            </c:numRef>
          </c:yVal>
          <c:smooth val="0"/>
          <c:extLst>
            <c:ext xmlns:c16="http://schemas.microsoft.com/office/drawing/2014/chart" uri="{C3380CC4-5D6E-409C-BE32-E72D297353CC}">
              <c16:uniqueId val="{00000003-2063-402B-B4FA-9BEF37512F7D}"/>
            </c:ext>
          </c:extLst>
        </c:ser>
        <c:ser>
          <c:idx val="4"/>
          <c:order val="4"/>
          <c:tx>
            <c:v>Q95 Lo</c:v>
          </c:tx>
          <c:spPr>
            <a:ln w="12700">
              <a:solidFill>
                <a:srgbClr val="FF00FF"/>
              </a:solidFill>
              <a:prstDash val="sysDash"/>
            </a:ln>
          </c:spPr>
          <c:marker>
            <c:symbol val="none"/>
          </c:marker>
          <c:xVal>
            <c:numRef>
              <c:f>Calcium!$U$4:$V$4</c:f>
              <c:numCache>
                <c:formatCode>0.000</c:formatCode>
                <c:ptCount val="2"/>
                <c:pt idx="0">
                  <c:v>0</c:v>
                </c:pt>
                <c:pt idx="1">
                  <c:v>0</c:v>
                </c:pt>
              </c:numCache>
            </c:numRef>
          </c:xVal>
          <c:yVal>
            <c:numRef>
              <c:f>Calcium!$U$2:$V$2</c:f>
              <c:numCache>
                <c:formatCode>General</c:formatCode>
                <c:ptCount val="2"/>
                <c:pt idx="0">
                  <c:v>0</c:v>
                </c:pt>
                <c:pt idx="1">
                  <c:v>1000</c:v>
                </c:pt>
              </c:numCache>
            </c:numRef>
          </c:yVal>
          <c:smooth val="0"/>
          <c:extLst>
            <c:ext xmlns:c16="http://schemas.microsoft.com/office/drawing/2014/chart" uri="{C3380CC4-5D6E-409C-BE32-E72D297353CC}">
              <c16:uniqueId val="{00000004-2063-402B-B4FA-9BEF37512F7D}"/>
            </c:ext>
          </c:extLst>
        </c:ser>
        <c:ser>
          <c:idx val="5"/>
          <c:order val="5"/>
          <c:tx>
            <c:v>Q98 No</c:v>
          </c:tx>
          <c:spPr>
            <a:ln w="12700">
              <a:solidFill>
                <a:srgbClr val="0000FF"/>
              </a:solidFill>
              <a:prstDash val="solid"/>
            </a:ln>
          </c:spPr>
          <c:marker>
            <c:symbol val="none"/>
          </c:marker>
          <c:xVal>
            <c:numRef>
              <c:f>Calcium!$U$5:$V$5</c:f>
              <c:numCache>
                <c:formatCode>0.000</c:formatCode>
                <c:ptCount val="2"/>
                <c:pt idx="0">
                  <c:v>0</c:v>
                </c:pt>
                <c:pt idx="1">
                  <c:v>0</c:v>
                </c:pt>
              </c:numCache>
            </c:numRef>
          </c:xVal>
          <c:yVal>
            <c:numRef>
              <c:f>Calcium!$U$2:$V$2</c:f>
              <c:numCache>
                <c:formatCode>General</c:formatCode>
                <c:ptCount val="2"/>
                <c:pt idx="0">
                  <c:v>0</c:v>
                </c:pt>
                <c:pt idx="1">
                  <c:v>1000</c:v>
                </c:pt>
              </c:numCache>
            </c:numRef>
          </c:yVal>
          <c:smooth val="0"/>
          <c:extLst>
            <c:ext xmlns:c16="http://schemas.microsoft.com/office/drawing/2014/chart" uri="{C3380CC4-5D6E-409C-BE32-E72D297353CC}">
              <c16:uniqueId val="{00000005-2063-402B-B4FA-9BEF37512F7D}"/>
            </c:ext>
          </c:extLst>
        </c:ser>
        <c:ser>
          <c:idx val="6"/>
          <c:order val="6"/>
          <c:tx>
            <c:v>Q98 Lo</c:v>
          </c:tx>
          <c:spPr>
            <a:ln w="12700">
              <a:solidFill>
                <a:srgbClr val="FF00FF"/>
              </a:solidFill>
              <a:prstDash val="solid"/>
            </a:ln>
          </c:spPr>
          <c:marker>
            <c:symbol val="none"/>
          </c:marker>
          <c:xVal>
            <c:numRef>
              <c:f>Calcium!$U$6:$V$6</c:f>
              <c:numCache>
                <c:formatCode>0.000</c:formatCode>
                <c:ptCount val="2"/>
                <c:pt idx="0">
                  <c:v>0</c:v>
                </c:pt>
                <c:pt idx="1">
                  <c:v>0</c:v>
                </c:pt>
              </c:numCache>
            </c:numRef>
          </c:xVal>
          <c:yVal>
            <c:numRef>
              <c:f>Calcium!$U$2:$V$2</c:f>
              <c:numCache>
                <c:formatCode>General</c:formatCode>
                <c:ptCount val="2"/>
                <c:pt idx="0">
                  <c:v>0</c:v>
                </c:pt>
                <c:pt idx="1">
                  <c:v>1000</c:v>
                </c:pt>
              </c:numCache>
            </c:numRef>
          </c:yVal>
          <c:smooth val="0"/>
          <c:extLst>
            <c:ext xmlns:c16="http://schemas.microsoft.com/office/drawing/2014/chart" uri="{C3380CC4-5D6E-409C-BE32-E72D297353CC}">
              <c16:uniqueId val="{00000006-2063-402B-B4FA-9BEF37512F7D}"/>
            </c:ext>
          </c:extLst>
        </c:ser>
        <c:ser>
          <c:idx val="7"/>
          <c:order val="7"/>
          <c:tx>
            <c:v>Q95u</c:v>
          </c:tx>
          <c:spPr>
            <a:ln w="12700">
              <a:solidFill>
                <a:srgbClr val="0000FF"/>
              </a:solidFill>
              <a:prstDash val="sysDash"/>
            </a:ln>
          </c:spPr>
          <c:marker>
            <c:symbol val="none"/>
          </c:marker>
          <c:xVal>
            <c:numRef>
              <c:f>Calcium!$U$7:$V$7</c:f>
              <c:numCache>
                <c:formatCode>0.000</c:formatCode>
                <c:ptCount val="2"/>
                <c:pt idx="0">
                  <c:v>0</c:v>
                </c:pt>
                <c:pt idx="1">
                  <c:v>0</c:v>
                </c:pt>
              </c:numCache>
            </c:numRef>
          </c:xVal>
          <c:yVal>
            <c:numRef>
              <c:f>Calcium!$U$2:$V$2</c:f>
              <c:numCache>
                <c:formatCode>General</c:formatCode>
                <c:ptCount val="2"/>
                <c:pt idx="0">
                  <c:v>0</c:v>
                </c:pt>
                <c:pt idx="1">
                  <c:v>1000</c:v>
                </c:pt>
              </c:numCache>
            </c:numRef>
          </c:yVal>
          <c:smooth val="0"/>
          <c:extLst>
            <c:ext xmlns:c16="http://schemas.microsoft.com/office/drawing/2014/chart" uri="{C3380CC4-5D6E-409C-BE32-E72D297353CC}">
              <c16:uniqueId val="{00000007-2063-402B-B4FA-9BEF37512F7D}"/>
            </c:ext>
          </c:extLst>
        </c:ser>
        <c:ser>
          <c:idx val="8"/>
          <c:order val="8"/>
          <c:tx>
            <c:v>Q95u Lo</c:v>
          </c:tx>
          <c:spPr>
            <a:ln w="12700">
              <a:solidFill>
                <a:srgbClr val="FF00FF"/>
              </a:solidFill>
              <a:prstDash val="sysDash"/>
            </a:ln>
          </c:spPr>
          <c:marker>
            <c:symbol val="none"/>
          </c:marker>
          <c:xVal>
            <c:numRef>
              <c:f>Calcium!$U$8:$V$8</c:f>
              <c:numCache>
                <c:formatCode>0.000</c:formatCode>
                <c:ptCount val="2"/>
                <c:pt idx="0">
                  <c:v>0</c:v>
                </c:pt>
                <c:pt idx="1">
                  <c:v>0</c:v>
                </c:pt>
              </c:numCache>
            </c:numRef>
          </c:xVal>
          <c:yVal>
            <c:numRef>
              <c:f>Calcium!$U$2:$V$2</c:f>
              <c:numCache>
                <c:formatCode>General</c:formatCode>
                <c:ptCount val="2"/>
                <c:pt idx="0">
                  <c:v>0</c:v>
                </c:pt>
                <c:pt idx="1">
                  <c:v>1000</c:v>
                </c:pt>
              </c:numCache>
            </c:numRef>
          </c:yVal>
          <c:smooth val="0"/>
          <c:extLst>
            <c:ext xmlns:c16="http://schemas.microsoft.com/office/drawing/2014/chart" uri="{C3380CC4-5D6E-409C-BE32-E72D297353CC}">
              <c16:uniqueId val="{00000008-2063-402B-B4FA-9BEF37512F7D}"/>
            </c:ext>
          </c:extLst>
        </c:ser>
        <c:ser>
          <c:idx val="9"/>
          <c:order val="9"/>
          <c:tx>
            <c:v>Median</c:v>
          </c:tx>
          <c:spPr>
            <a:ln w="12700">
              <a:solidFill>
                <a:srgbClr val="969696"/>
              </a:solidFill>
              <a:prstDash val="lgDashDotDot"/>
            </a:ln>
          </c:spPr>
          <c:marker>
            <c:symbol val="none"/>
          </c:marker>
          <c:xVal>
            <c:numRef>
              <c:f>Calcium!$U$11:$V$11</c:f>
              <c:numCache>
                <c:formatCode>0.000</c:formatCode>
                <c:ptCount val="2"/>
                <c:pt idx="0">
                  <c:v>0</c:v>
                </c:pt>
                <c:pt idx="1">
                  <c:v>0</c:v>
                </c:pt>
              </c:numCache>
            </c:numRef>
          </c:xVal>
          <c:yVal>
            <c:numRef>
              <c:f>Calcium!$U$2:$V$2</c:f>
              <c:numCache>
                <c:formatCode>General</c:formatCode>
                <c:ptCount val="2"/>
                <c:pt idx="0">
                  <c:v>0</c:v>
                </c:pt>
                <c:pt idx="1">
                  <c:v>1000</c:v>
                </c:pt>
              </c:numCache>
            </c:numRef>
          </c:yVal>
          <c:smooth val="0"/>
          <c:extLst>
            <c:ext xmlns:c16="http://schemas.microsoft.com/office/drawing/2014/chart" uri="{C3380CC4-5D6E-409C-BE32-E72D297353CC}">
              <c16:uniqueId val="{00000009-2063-402B-B4FA-9BEF37512F7D}"/>
            </c:ext>
          </c:extLst>
        </c:ser>
        <c:dLbls>
          <c:showLegendKey val="0"/>
          <c:showVal val="0"/>
          <c:showCatName val="0"/>
          <c:showSerName val="0"/>
          <c:showPercent val="0"/>
          <c:showBubbleSize val="0"/>
        </c:dLbls>
        <c:axId val="150043648"/>
        <c:axId val="150057728"/>
      </c:scatterChart>
      <c:valAx>
        <c:axId val="150043648"/>
        <c:scaling>
          <c:orientation val="minMax"/>
          <c:max val="2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0057728"/>
        <c:crosses val="autoZero"/>
        <c:crossBetween val="midCat"/>
        <c:majorUnit val="50"/>
        <c:minorUnit val="10"/>
      </c:valAx>
      <c:valAx>
        <c:axId val="150057728"/>
        <c:scaling>
          <c:orientation val="minMax"/>
          <c:max val="5.000000000000001E-2"/>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0043648"/>
        <c:crosses val="autoZero"/>
        <c:crossBetween val="midCat"/>
        <c:majorUnit val="1.0000000000000002E-2"/>
        <c:minorUnit val="5.000000000000001E-3"/>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Calcium!$M$3:$M$252</c:f>
              <c:numCache>
                <c:formatCode>d/m/yyyy;@</c:formatCode>
                <c:ptCount val="250"/>
              </c:numCache>
            </c:numRef>
          </c:xVal>
          <c:yVal>
            <c:numRef>
              <c:f>Calcium!$N$3:$N$252</c:f>
              <c:numCache>
                <c:formatCode>General</c:formatCode>
                <c:ptCount val="250"/>
              </c:numCache>
            </c:numRef>
          </c:yVal>
          <c:smooth val="0"/>
          <c:extLst>
            <c:ext xmlns:c16="http://schemas.microsoft.com/office/drawing/2014/chart" uri="{C3380CC4-5D6E-409C-BE32-E72D297353CC}">
              <c16:uniqueId val="{00000000-3897-4FC3-8A30-7187FB8DE088}"/>
            </c:ext>
          </c:extLst>
        </c:ser>
        <c:ser>
          <c:idx val="1"/>
          <c:order val="1"/>
          <c:tx>
            <c:v>Q95</c:v>
          </c:tx>
          <c:spPr>
            <a:ln w="12700">
              <a:solidFill>
                <a:srgbClr val="0000FF"/>
              </a:solidFill>
              <a:prstDash val="sysDash"/>
            </a:ln>
          </c:spPr>
          <c:marker>
            <c:symbol val="none"/>
          </c:marker>
          <c:xVal>
            <c:numRef>
              <c:f>Calcium!$E$57:$E$58</c:f>
              <c:numCache>
                <c:formatCode>m/d/yyyy</c:formatCode>
                <c:ptCount val="2"/>
                <c:pt idx="0">
                  <c:v>1</c:v>
                </c:pt>
                <c:pt idx="1">
                  <c:v>51501</c:v>
                </c:pt>
              </c:numCache>
            </c:numRef>
          </c:xVal>
          <c:yVal>
            <c:numRef>
              <c:f>Calcium!$F$57:$F$58</c:f>
              <c:numCache>
                <c:formatCode>0.000</c:formatCode>
                <c:ptCount val="2"/>
                <c:pt idx="0">
                  <c:v>0</c:v>
                </c:pt>
                <c:pt idx="1">
                  <c:v>0</c:v>
                </c:pt>
              </c:numCache>
            </c:numRef>
          </c:yVal>
          <c:smooth val="0"/>
          <c:extLst>
            <c:ext xmlns:c16="http://schemas.microsoft.com/office/drawing/2014/chart" uri="{C3380CC4-5D6E-409C-BE32-E72D297353CC}">
              <c16:uniqueId val="{00000001-3897-4FC3-8A30-7187FB8DE088}"/>
            </c:ext>
          </c:extLst>
        </c:ser>
        <c:ser>
          <c:idx val="4"/>
          <c:order val="2"/>
          <c:tx>
            <c:v>Q95Log</c:v>
          </c:tx>
          <c:spPr>
            <a:ln w="12700">
              <a:solidFill>
                <a:srgbClr val="FF00FF"/>
              </a:solidFill>
              <a:prstDash val="sysDash"/>
            </a:ln>
          </c:spPr>
          <c:marker>
            <c:symbol val="none"/>
          </c:marker>
          <c:xVal>
            <c:numRef>
              <c:f>Calcium!$E$57:$E$58</c:f>
              <c:numCache>
                <c:formatCode>m/d/yyyy</c:formatCode>
                <c:ptCount val="2"/>
                <c:pt idx="0">
                  <c:v>1</c:v>
                </c:pt>
                <c:pt idx="1">
                  <c:v>51501</c:v>
                </c:pt>
              </c:numCache>
            </c:numRef>
          </c:xVal>
          <c:yVal>
            <c:numRef>
              <c:f>Calcium!$J$57:$J$58</c:f>
              <c:numCache>
                <c:formatCode>0.000</c:formatCode>
                <c:ptCount val="2"/>
                <c:pt idx="0">
                  <c:v>0</c:v>
                </c:pt>
                <c:pt idx="1">
                  <c:v>0</c:v>
                </c:pt>
              </c:numCache>
            </c:numRef>
          </c:yVal>
          <c:smooth val="0"/>
          <c:extLst>
            <c:ext xmlns:c16="http://schemas.microsoft.com/office/drawing/2014/chart" uri="{C3380CC4-5D6E-409C-BE32-E72D297353CC}">
              <c16:uniqueId val="{00000002-3897-4FC3-8A30-7187FB8DE088}"/>
            </c:ext>
          </c:extLst>
        </c:ser>
        <c:ser>
          <c:idx val="9"/>
          <c:order val="3"/>
          <c:tx>
            <c:v>vT</c:v>
          </c:tx>
          <c:spPr>
            <a:ln w="12700">
              <a:solidFill>
                <a:srgbClr val="808080"/>
              </a:solidFill>
              <a:prstDash val="sysDash"/>
            </a:ln>
          </c:spPr>
          <c:marker>
            <c:symbol val="none"/>
          </c:marker>
          <c:xVal>
            <c:numRef>
              <c:f>Calcium!$G$122:$G$123</c:f>
              <c:numCache>
                <c:formatCode>d/m/yyyy;@</c:formatCode>
                <c:ptCount val="2"/>
                <c:pt idx="0">
                  <c:v>0</c:v>
                </c:pt>
                <c:pt idx="1">
                  <c:v>0</c:v>
                </c:pt>
              </c:numCache>
            </c:numRef>
          </c:xVal>
          <c:yVal>
            <c:numRef>
              <c:f>Calcium!$I$122:$I$123</c:f>
              <c:numCache>
                <c:formatCode>General</c:formatCode>
                <c:ptCount val="2"/>
                <c:pt idx="0">
                  <c:v>0</c:v>
                </c:pt>
                <c:pt idx="1">
                  <c:v>0</c:v>
                </c:pt>
              </c:numCache>
            </c:numRef>
          </c:yVal>
          <c:smooth val="0"/>
          <c:extLst>
            <c:ext xmlns:c16="http://schemas.microsoft.com/office/drawing/2014/chart" uri="{C3380CC4-5D6E-409C-BE32-E72D297353CC}">
              <c16:uniqueId val="{00000003-3897-4FC3-8A30-7187FB8DE088}"/>
            </c:ext>
          </c:extLst>
        </c:ser>
        <c:ser>
          <c:idx val="10"/>
          <c:order val="4"/>
          <c:tx>
            <c:v>Trend</c:v>
          </c:tx>
          <c:spPr>
            <a:ln w="12700">
              <a:solidFill>
                <a:srgbClr val="808080"/>
              </a:solidFill>
              <a:prstDash val="solid"/>
            </a:ln>
          </c:spPr>
          <c:marker>
            <c:symbol val="none"/>
          </c:marker>
          <c:xVal>
            <c:numRef>
              <c:f>Calcium!$G$122:$G$123</c:f>
              <c:numCache>
                <c:formatCode>d/m/yyyy;@</c:formatCode>
                <c:ptCount val="2"/>
                <c:pt idx="0">
                  <c:v>0</c:v>
                </c:pt>
                <c:pt idx="1">
                  <c:v>0</c:v>
                </c:pt>
              </c:numCache>
            </c:numRef>
          </c:xVal>
          <c:yVal>
            <c:numRef>
              <c:f>Calcium!$J$122:$J$123</c:f>
              <c:numCache>
                <c:formatCode>General</c:formatCode>
                <c:ptCount val="2"/>
                <c:pt idx="0">
                  <c:v>0</c:v>
                </c:pt>
                <c:pt idx="1">
                  <c:v>0</c:v>
                </c:pt>
              </c:numCache>
            </c:numRef>
          </c:yVal>
          <c:smooth val="0"/>
          <c:extLst>
            <c:ext xmlns:c16="http://schemas.microsoft.com/office/drawing/2014/chart" uri="{C3380CC4-5D6E-409C-BE32-E72D297353CC}">
              <c16:uniqueId val="{00000004-3897-4FC3-8A30-7187FB8DE088}"/>
            </c:ext>
          </c:extLst>
        </c:ser>
        <c:ser>
          <c:idx val="2"/>
          <c:order val="5"/>
          <c:tx>
            <c:v>Q95u</c:v>
          </c:tx>
          <c:spPr>
            <a:ln w="12700">
              <a:solidFill>
                <a:srgbClr val="0000FF"/>
              </a:solidFill>
              <a:prstDash val="sysDash"/>
            </a:ln>
          </c:spPr>
          <c:marker>
            <c:symbol val="none"/>
          </c:marker>
          <c:xVal>
            <c:numRef>
              <c:f>Calcium!$E$57:$E$58</c:f>
              <c:numCache>
                <c:formatCode>m/d/yyyy</c:formatCode>
                <c:ptCount val="2"/>
                <c:pt idx="0">
                  <c:v>1</c:v>
                </c:pt>
                <c:pt idx="1">
                  <c:v>51501</c:v>
                </c:pt>
              </c:numCache>
            </c:numRef>
          </c:xVal>
          <c:yVal>
            <c:numRef>
              <c:f>Calcium!$G$57:$G$58</c:f>
              <c:numCache>
                <c:formatCode>0.000</c:formatCode>
                <c:ptCount val="2"/>
                <c:pt idx="0">
                  <c:v>0</c:v>
                </c:pt>
                <c:pt idx="1">
                  <c:v>0</c:v>
                </c:pt>
              </c:numCache>
            </c:numRef>
          </c:yVal>
          <c:smooth val="0"/>
          <c:extLst>
            <c:ext xmlns:c16="http://schemas.microsoft.com/office/drawing/2014/chart" uri="{C3380CC4-5D6E-409C-BE32-E72D297353CC}">
              <c16:uniqueId val="{00000005-3897-4FC3-8A30-7187FB8DE088}"/>
            </c:ext>
          </c:extLst>
        </c:ser>
        <c:ser>
          <c:idx val="3"/>
          <c:order val="6"/>
          <c:tx>
            <c:v>Q98</c:v>
          </c:tx>
          <c:spPr>
            <a:ln w="12700">
              <a:solidFill>
                <a:srgbClr val="0000FF"/>
              </a:solidFill>
              <a:prstDash val="solid"/>
            </a:ln>
          </c:spPr>
          <c:marker>
            <c:symbol val="none"/>
          </c:marker>
          <c:xVal>
            <c:numRef>
              <c:f>Calcium!$E$57:$E$58</c:f>
              <c:numCache>
                <c:formatCode>m/d/yyyy</c:formatCode>
                <c:ptCount val="2"/>
                <c:pt idx="0">
                  <c:v>1</c:v>
                </c:pt>
                <c:pt idx="1">
                  <c:v>51501</c:v>
                </c:pt>
              </c:numCache>
            </c:numRef>
          </c:xVal>
          <c:yVal>
            <c:numRef>
              <c:f>Calcium!$H$57:$H$58</c:f>
              <c:numCache>
                <c:formatCode>0.000</c:formatCode>
                <c:ptCount val="2"/>
                <c:pt idx="0">
                  <c:v>0</c:v>
                </c:pt>
                <c:pt idx="1">
                  <c:v>0</c:v>
                </c:pt>
              </c:numCache>
            </c:numRef>
          </c:yVal>
          <c:smooth val="0"/>
          <c:extLst>
            <c:ext xmlns:c16="http://schemas.microsoft.com/office/drawing/2014/chart" uri="{C3380CC4-5D6E-409C-BE32-E72D297353CC}">
              <c16:uniqueId val="{00000006-3897-4FC3-8A30-7187FB8DE088}"/>
            </c:ext>
          </c:extLst>
        </c:ser>
        <c:ser>
          <c:idx val="6"/>
          <c:order val="7"/>
          <c:tx>
            <c:v>Q98Log</c:v>
          </c:tx>
          <c:spPr>
            <a:ln w="12700">
              <a:solidFill>
                <a:srgbClr val="CC00FF"/>
              </a:solidFill>
            </a:ln>
          </c:spPr>
          <c:marker>
            <c:symbol val="none"/>
          </c:marker>
          <c:xVal>
            <c:numRef>
              <c:f>Calcium!$E$57:$E$58</c:f>
              <c:numCache>
                <c:formatCode>m/d/yyyy</c:formatCode>
                <c:ptCount val="2"/>
                <c:pt idx="0">
                  <c:v>1</c:v>
                </c:pt>
                <c:pt idx="1">
                  <c:v>51501</c:v>
                </c:pt>
              </c:numCache>
            </c:numRef>
          </c:xVal>
          <c:yVal>
            <c:numRef>
              <c:f>Calcium!$K$57:$K$58</c:f>
              <c:numCache>
                <c:formatCode>0.000</c:formatCode>
                <c:ptCount val="2"/>
                <c:pt idx="0">
                  <c:v>0</c:v>
                </c:pt>
                <c:pt idx="1">
                  <c:v>0</c:v>
                </c:pt>
              </c:numCache>
            </c:numRef>
          </c:yVal>
          <c:smooth val="0"/>
          <c:extLst>
            <c:ext xmlns:c16="http://schemas.microsoft.com/office/drawing/2014/chart" uri="{C3380CC4-5D6E-409C-BE32-E72D297353CC}">
              <c16:uniqueId val="{00000007-3897-4FC3-8A30-7187FB8DE088}"/>
            </c:ext>
          </c:extLst>
        </c:ser>
        <c:dLbls>
          <c:showLegendKey val="0"/>
          <c:showVal val="0"/>
          <c:showCatName val="0"/>
          <c:showSerName val="0"/>
          <c:showPercent val="0"/>
          <c:showBubbleSize val="0"/>
        </c:dLbls>
        <c:axId val="149915136"/>
        <c:axId val="149916672"/>
      </c:scatterChart>
      <c:valAx>
        <c:axId val="149915136"/>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49916672"/>
        <c:crossesAt val="0"/>
        <c:crossBetween val="midCat"/>
        <c:majorUnit val="1461"/>
        <c:minorUnit val="365.25"/>
      </c:valAx>
      <c:valAx>
        <c:axId val="149916672"/>
        <c:scaling>
          <c:orientation val="minMax"/>
          <c:max val="2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49915136"/>
        <c:crossesAt val="0"/>
        <c:crossBetween val="midCat"/>
        <c:majorUnit val="50"/>
        <c:minorUnit val="10"/>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Ngesamt!$F$63:$F$113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Ngesamt!$G$63:$G$113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7F25-460F-943A-4D235166E2AC}"/>
            </c:ext>
          </c:extLst>
        </c:ser>
        <c:ser>
          <c:idx val="1"/>
          <c:order val="1"/>
          <c:tx>
            <c:v>LogNormalverteilung</c:v>
          </c:tx>
          <c:spPr>
            <a:ln w="25400">
              <a:solidFill>
                <a:srgbClr val="FF00FF"/>
              </a:solidFill>
              <a:prstDash val="solid"/>
            </a:ln>
          </c:spPr>
          <c:marker>
            <c:symbol val="none"/>
          </c:marker>
          <c:xVal>
            <c:numRef>
              <c:f>Ngesamt!$I$63:$I$113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Ngesamt!$J$63:$J$113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7F25-460F-943A-4D235166E2AC}"/>
            </c:ext>
          </c:extLst>
        </c:ser>
        <c:ser>
          <c:idx val="2"/>
          <c:order val="2"/>
          <c:tx>
            <c:v>Histogramm</c:v>
          </c:tx>
          <c:spPr>
            <a:ln w="25400">
              <a:solidFill>
                <a:srgbClr val="969696"/>
              </a:solidFill>
              <a:prstDash val="lgDashDot"/>
            </a:ln>
          </c:spPr>
          <c:marker>
            <c:symbol val="none"/>
          </c:marker>
          <c:xVal>
            <c:numRef>
              <c:f>Ngesamt!$T$46:$T$97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Ngesamt!$U$46:$U$97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7F25-460F-943A-4D235166E2AC}"/>
            </c:ext>
          </c:extLst>
        </c:ser>
        <c:ser>
          <c:idx val="3"/>
          <c:order val="3"/>
          <c:tx>
            <c:v>Q95 No</c:v>
          </c:tx>
          <c:spPr>
            <a:ln w="12700">
              <a:solidFill>
                <a:srgbClr val="0000FF"/>
              </a:solidFill>
              <a:prstDash val="sysDash"/>
            </a:ln>
          </c:spPr>
          <c:marker>
            <c:symbol val="none"/>
          </c:marker>
          <c:xVal>
            <c:numRef>
              <c:f>Ngesamt!$U$3:$V$3</c:f>
              <c:numCache>
                <c:formatCode>0.000</c:formatCode>
                <c:ptCount val="2"/>
                <c:pt idx="0">
                  <c:v>0</c:v>
                </c:pt>
                <c:pt idx="1">
                  <c:v>0</c:v>
                </c:pt>
              </c:numCache>
            </c:numRef>
          </c:xVal>
          <c:yVal>
            <c:numRef>
              <c:f>Ngesamt!$U$2:$V$2</c:f>
              <c:numCache>
                <c:formatCode>General</c:formatCode>
                <c:ptCount val="2"/>
                <c:pt idx="0">
                  <c:v>0</c:v>
                </c:pt>
                <c:pt idx="1">
                  <c:v>1000</c:v>
                </c:pt>
              </c:numCache>
            </c:numRef>
          </c:yVal>
          <c:smooth val="0"/>
          <c:extLst>
            <c:ext xmlns:c16="http://schemas.microsoft.com/office/drawing/2014/chart" uri="{C3380CC4-5D6E-409C-BE32-E72D297353CC}">
              <c16:uniqueId val="{00000003-7F25-460F-943A-4D235166E2AC}"/>
            </c:ext>
          </c:extLst>
        </c:ser>
        <c:ser>
          <c:idx val="4"/>
          <c:order val="4"/>
          <c:tx>
            <c:v>Q95 Lo</c:v>
          </c:tx>
          <c:spPr>
            <a:ln w="12700">
              <a:solidFill>
                <a:srgbClr val="FF00FF"/>
              </a:solidFill>
              <a:prstDash val="sysDash"/>
            </a:ln>
          </c:spPr>
          <c:marker>
            <c:symbol val="none"/>
          </c:marker>
          <c:xVal>
            <c:numRef>
              <c:f>Ngesamt!$U$4:$V$4</c:f>
              <c:numCache>
                <c:formatCode>0.000</c:formatCode>
                <c:ptCount val="2"/>
                <c:pt idx="0">
                  <c:v>0</c:v>
                </c:pt>
                <c:pt idx="1">
                  <c:v>0</c:v>
                </c:pt>
              </c:numCache>
            </c:numRef>
          </c:xVal>
          <c:yVal>
            <c:numRef>
              <c:f>Ngesamt!$U$2:$V$2</c:f>
              <c:numCache>
                <c:formatCode>General</c:formatCode>
                <c:ptCount val="2"/>
                <c:pt idx="0">
                  <c:v>0</c:v>
                </c:pt>
                <c:pt idx="1">
                  <c:v>1000</c:v>
                </c:pt>
              </c:numCache>
            </c:numRef>
          </c:yVal>
          <c:smooth val="0"/>
          <c:extLst>
            <c:ext xmlns:c16="http://schemas.microsoft.com/office/drawing/2014/chart" uri="{C3380CC4-5D6E-409C-BE32-E72D297353CC}">
              <c16:uniqueId val="{00000004-7F25-460F-943A-4D235166E2AC}"/>
            </c:ext>
          </c:extLst>
        </c:ser>
        <c:ser>
          <c:idx val="5"/>
          <c:order val="5"/>
          <c:tx>
            <c:v>Q98 No</c:v>
          </c:tx>
          <c:spPr>
            <a:ln w="12700">
              <a:solidFill>
                <a:srgbClr val="0000FF"/>
              </a:solidFill>
              <a:prstDash val="solid"/>
            </a:ln>
          </c:spPr>
          <c:marker>
            <c:symbol val="none"/>
          </c:marker>
          <c:xVal>
            <c:numRef>
              <c:f>Ngesamt!$U$5:$V$5</c:f>
              <c:numCache>
                <c:formatCode>0.000</c:formatCode>
                <c:ptCount val="2"/>
                <c:pt idx="0">
                  <c:v>0</c:v>
                </c:pt>
                <c:pt idx="1">
                  <c:v>0</c:v>
                </c:pt>
              </c:numCache>
            </c:numRef>
          </c:xVal>
          <c:yVal>
            <c:numRef>
              <c:f>Ngesamt!$U$2:$V$2</c:f>
              <c:numCache>
                <c:formatCode>General</c:formatCode>
                <c:ptCount val="2"/>
                <c:pt idx="0">
                  <c:v>0</c:v>
                </c:pt>
                <c:pt idx="1">
                  <c:v>1000</c:v>
                </c:pt>
              </c:numCache>
            </c:numRef>
          </c:yVal>
          <c:smooth val="0"/>
          <c:extLst>
            <c:ext xmlns:c16="http://schemas.microsoft.com/office/drawing/2014/chart" uri="{C3380CC4-5D6E-409C-BE32-E72D297353CC}">
              <c16:uniqueId val="{00000005-7F25-460F-943A-4D235166E2AC}"/>
            </c:ext>
          </c:extLst>
        </c:ser>
        <c:ser>
          <c:idx val="6"/>
          <c:order val="6"/>
          <c:tx>
            <c:v>Q98 Lo</c:v>
          </c:tx>
          <c:spPr>
            <a:ln w="12700">
              <a:solidFill>
                <a:srgbClr val="FF00FF"/>
              </a:solidFill>
              <a:prstDash val="solid"/>
            </a:ln>
          </c:spPr>
          <c:marker>
            <c:symbol val="none"/>
          </c:marker>
          <c:xVal>
            <c:numRef>
              <c:f>Ngesamt!$U$6:$V$6</c:f>
              <c:numCache>
                <c:formatCode>0.000</c:formatCode>
                <c:ptCount val="2"/>
                <c:pt idx="0">
                  <c:v>0</c:v>
                </c:pt>
                <c:pt idx="1">
                  <c:v>0</c:v>
                </c:pt>
              </c:numCache>
            </c:numRef>
          </c:xVal>
          <c:yVal>
            <c:numRef>
              <c:f>Ngesamt!$U$2:$V$2</c:f>
              <c:numCache>
                <c:formatCode>General</c:formatCode>
                <c:ptCount val="2"/>
                <c:pt idx="0">
                  <c:v>0</c:v>
                </c:pt>
                <c:pt idx="1">
                  <c:v>1000</c:v>
                </c:pt>
              </c:numCache>
            </c:numRef>
          </c:yVal>
          <c:smooth val="0"/>
          <c:extLst>
            <c:ext xmlns:c16="http://schemas.microsoft.com/office/drawing/2014/chart" uri="{C3380CC4-5D6E-409C-BE32-E72D297353CC}">
              <c16:uniqueId val="{00000006-7F25-460F-943A-4D235166E2AC}"/>
            </c:ext>
          </c:extLst>
        </c:ser>
        <c:ser>
          <c:idx val="7"/>
          <c:order val="7"/>
          <c:tx>
            <c:v>Q95u</c:v>
          </c:tx>
          <c:spPr>
            <a:ln w="12700">
              <a:solidFill>
                <a:srgbClr val="0000FF"/>
              </a:solidFill>
              <a:prstDash val="sysDash"/>
            </a:ln>
          </c:spPr>
          <c:marker>
            <c:symbol val="none"/>
          </c:marker>
          <c:xVal>
            <c:numRef>
              <c:f>Ngesamt!$U$7:$V$7</c:f>
              <c:numCache>
                <c:formatCode>0.000</c:formatCode>
                <c:ptCount val="2"/>
                <c:pt idx="0">
                  <c:v>0</c:v>
                </c:pt>
                <c:pt idx="1">
                  <c:v>0</c:v>
                </c:pt>
              </c:numCache>
            </c:numRef>
          </c:xVal>
          <c:yVal>
            <c:numRef>
              <c:f>Ngesamt!$U$2:$V$2</c:f>
              <c:numCache>
                <c:formatCode>General</c:formatCode>
                <c:ptCount val="2"/>
                <c:pt idx="0">
                  <c:v>0</c:v>
                </c:pt>
                <c:pt idx="1">
                  <c:v>1000</c:v>
                </c:pt>
              </c:numCache>
            </c:numRef>
          </c:yVal>
          <c:smooth val="0"/>
          <c:extLst>
            <c:ext xmlns:c16="http://schemas.microsoft.com/office/drawing/2014/chart" uri="{C3380CC4-5D6E-409C-BE32-E72D297353CC}">
              <c16:uniqueId val="{00000007-7F25-460F-943A-4D235166E2AC}"/>
            </c:ext>
          </c:extLst>
        </c:ser>
        <c:ser>
          <c:idx val="8"/>
          <c:order val="8"/>
          <c:tx>
            <c:v>Q95u Lo</c:v>
          </c:tx>
          <c:spPr>
            <a:ln w="12700">
              <a:solidFill>
                <a:srgbClr val="FF00FF"/>
              </a:solidFill>
              <a:prstDash val="sysDash"/>
            </a:ln>
          </c:spPr>
          <c:marker>
            <c:symbol val="none"/>
          </c:marker>
          <c:xVal>
            <c:numRef>
              <c:f>Ngesamt!$U$8:$V$8</c:f>
              <c:numCache>
                <c:formatCode>0.000</c:formatCode>
                <c:ptCount val="2"/>
                <c:pt idx="0">
                  <c:v>0</c:v>
                </c:pt>
                <c:pt idx="1">
                  <c:v>0</c:v>
                </c:pt>
              </c:numCache>
            </c:numRef>
          </c:xVal>
          <c:yVal>
            <c:numRef>
              <c:f>Ngesamt!$U$2:$V$2</c:f>
              <c:numCache>
                <c:formatCode>General</c:formatCode>
                <c:ptCount val="2"/>
                <c:pt idx="0">
                  <c:v>0</c:v>
                </c:pt>
                <c:pt idx="1">
                  <c:v>1000</c:v>
                </c:pt>
              </c:numCache>
            </c:numRef>
          </c:yVal>
          <c:smooth val="0"/>
          <c:extLst>
            <c:ext xmlns:c16="http://schemas.microsoft.com/office/drawing/2014/chart" uri="{C3380CC4-5D6E-409C-BE32-E72D297353CC}">
              <c16:uniqueId val="{00000008-7F25-460F-943A-4D235166E2AC}"/>
            </c:ext>
          </c:extLst>
        </c:ser>
        <c:ser>
          <c:idx val="9"/>
          <c:order val="9"/>
          <c:tx>
            <c:v>Median</c:v>
          </c:tx>
          <c:spPr>
            <a:ln w="12700">
              <a:solidFill>
                <a:srgbClr val="969696"/>
              </a:solidFill>
              <a:prstDash val="lgDashDotDot"/>
            </a:ln>
          </c:spPr>
          <c:marker>
            <c:symbol val="none"/>
          </c:marker>
          <c:xVal>
            <c:numRef>
              <c:f>Ngesamt!$U$11:$V$11</c:f>
              <c:numCache>
                <c:formatCode>0.000</c:formatCode>
                <c:ptCount val="2"/>
                <c:pt idx="0">
                  <c:v>0</c:v>
                </c:pt>
                <c:pt idx="1">
                  <c:v>0</c:v>
                </c:pt>
              </c:numCache>
            </c:numRef>
          </c:xVal>
          <c:yVal>
            <c:numRef>
              <c:f>Ngesamt!$U$2:$V$2</c:f>
              <c:numCache>
                <c:formatCode>General</c:formatCode>
                <c:ptCount val="2"/>
                <c:pt idx="0">
                  <c:v>0</c:v>
                </c:pt>
                <c:pt idx="1">
                  <c:v>1000</c:v>
                </c:pt>
              </c:numCache>
            </c:numRef>
          </c:yVal>
          <c:smooth val="0"/>
          <c:extLst>
            <c:ext xmlns:c16="http://schemas.microsoft.com/office/drawing/2014/chart" uri="{C3380CC4-5D6E-409C-BE32-E72D297353CC}">
              <c16:uniqueId val="{00000009-7F25-460F-943A-4D235166E2AC}"/>
            </c:ext>
          </c:extLst>
        </c:ser>
        <c:dLbls>
          <c:showLegendKey val="0"/>
          <c:showVal val="0"/>
          <c:showCatName val="0"/>
          <c:showSerName val="0"/>
          <c:showPercent val="0"/>
          <c:showBubbleSize val="0"/>
        </c:dLbls>
        <c:axId val="152564480"/>
        <c:axId val="152566016"/>
      </c:scatterChart>
      <c:valAx>
        <c:axId val="152564480"/>
        <c:scaling>
          <c:orientation val="minMax"/>
          <c:max val="5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2566016"/>
        <c:crosses val="autoZero"/>
        <c:crossBetween val="midCat"/>
        <c:majorUnit val="10"/>
        <c:minorUnit val="5"/>
      </c:valAx>
      <c:valAx>
        <c:axId val="152566016"/>
        <c:scaling>
          <c:orientation val="minMax"/>
          <c:max val="0.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2564480"/>
        <c:crosses val="autoZero"/>
        <c:crossBetween val="midCat"/>
        <c:majorUnit val="0.1"/>
        <c:minorUnit val="0.1"/>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Ngesamt!$M$3:$M$252</c:f>
              <c:numCache>
                <c:formatCode>d/m/yyyy;@</c:formatCode>
                <c:ptCount val="250"/>
              </c:numCache>
            </c:numRef>
          </c:xVal>
          <c:yVal>
            <c:numRef>
              <c:f>Ngesamt!$N$3:$N$252</c:f>
              <c:numCache>
                <c:formatCode>General</c:formatCode>
                <c:ptCount val="250"/>
              </c:numCache>
            </c:numRef>
          </c:yVal>
          <c:smooth val="0"/>
          <c:extLst>
            <c:ext xmlns:c16="http://schemas.microsoft.com/office/drawing/2014/chart" uri="{C3380CC4-5D6E-409C-BE32-E72D297353CC}">
              <c16:uniqueId val="{00000000-2B9E-4927-BDD1-29081B63EE29}"/>
            </c:ext>
          </c:extLst>
        </c:ser>
        <c:ser>
          <c:idx val="1"/>
          <c:order val="1"/>
          <c:tx>
            <c:v>Q95</c:v>
          </c:tx>
          <c:spPr>
            <a:ln w="12700">
              <a:solidFill>
                <a:srgbClr val="0000FF"/>
              </a:solidFill>
              <a:prstDash val="sysDash"/>
            </a:ln>
          </c:spPr>
          <c:marker>
            <c:symbol val="none"/>
          </c:marker>
          <c:xVal>
            <c:numRef>
              <c:f>Ngesamt!$E$57:$E$58</c:f>
              <c:numCache>
                <c:formatCode>m/d/yyyy</c:formatCode>
                <c:ptCount val="2"/>
                <c:pt idx="0">
                  <c:v>1</c:v>
                </c:pt>
                <c:pt idx="1">
                  <c:v>73415</c:v>
                </c:pt>
              </c:numCache>
            </c:numRef>
          </c:xVal>
          <c:yVal>
            <c:numRef>
              <c:f>Ngesamt!$F$57:$F$58</c:f>
              <c:numCache>
                <c:formatCode>0.000</c:formatCode>
                <c:ptCount val="2"/>
                <c:pt idx="0">
                  <c:v>0</c:v>
                </c:pt>
                <c:pt idx="1">
                  <c:v>0</c:v>
                </c:pt>
              </c:numCache>
            </c:numRef>
          </c:yVal>
          <c:smooth val="0"/>
          <c:extLst>
            <c:ext xmlns:c16="http://schemas.microsoft.com/office/drawing/2014/chart" uri="{C3380CC4-5D6E-409C-BE32-E72D297353CC}">
              <c16:uniqueId val="{00000001-2B9E-4927-BDD1-29081B63EE29}"/>
            </c:ext>
          </c:extLst>
        </c:ser>
        <c:ser>
          <c:idx val="4"/>
          <c:order val="2"/>
          <c:tx>
            <c:v>Q95Log</c:v>
          </c:tx>
          <c:spPr>
            <a:ln w="12700">
              <a:solidFill>
                <a:srgbClr val="FF00FF"/>
              </a:solidFill>
              <a:prstDash val="sysDash"/>
            </a:ln>
          </c:spPr>
          <c:marker>
            <c:symbol val="none"/>
          </c:marker>
          <c:xVal>
            <c:numRef>
              <c:f>Ngesamt!$E$57:$E$58</c:f>
              <c:numCache>
                <c:formatCode>m/d/yyyy</c:formatCode>
                <c:ptCount val="2"/>
                <c:pt idx="0">
                  <c:v>1</c:v>
                </c:pt>
                <c:pt idx="1">
                  <c:v>73415</c:v>
                </c:pt>
              </c:numCache>
            </c:numRef>
          </c:xVal>
          <c:yVal>
            <c:numRef>
              <c:f>Ngesamt!$J$57:$J$58</c:f>
              <c:numCache>
                <c:formatCode>0.000</c:formatCode>
                <c:ptCount val="2"/>
                <c:pt idx="0">
                  <c:v>0</c:v>
                </c:pt>
                <c:pt idx="1">
                  <c:v>0</c:v>
                </c:pt>
              </c:numCache>
            </c:numRef>
          </c:yVal>
          <c:smooth val="0"/>
          <c:extLst>
            <c:ext xmlns:c16="http://schemas.microsoft.com/office/drawing/2014/chart" uri="{C3380CC4-5D6E-409C-BE32-E72D297353CC}">
              <c16:uniqueId val="{00000002-2B9E-4927-BDD1-29081B63EE29}"/>
            </c:ext>
          </c:extLst>
        </c:ser>
        <c:ser>
          <c:idx val="9"/>
          <c:order val="3"/>
          <c:tx>
            <c:v>vT</c:v>
          </c:tx>
          <c:spPr>
            <a:ln w="12700">
              <a:solidFill>
                <a:srgbClr val="808080"/>
              </a:solidFill>
              <a:prstDash val="sysDash"/>
            </a:ln>
          </c:spPr>
          <c:marker>
            <c:symbol val="none"/>
          </c:marker>
          <c:xVal>
            <c:numRef>
              <c:f>Ngesamt!$G$122:$G$123</c:f>
              <c:numCache>
                <c:formatCode>d/m/yyyy;@</c:formatCode>
                <c:ptCount val="2"/>
                <c:pt idx="0">
                  <c:v>0</c:v>
                </c:pt>
                <c:pt idx="1">
                  <c:v>0</c:v>
                </c:pt>
              </c:numCache>
            </c:numRef>
          </c:xVal>
          <c:yVal>
            <c:numRef>
              <c:f>Ngesamt!$I$122:$I$123</c:f>
              <c:numCache>
                <c:formatCode>General</c:formatCode>
                <c:ptCount val="2"/>
                <c:pt idx="0">
                  <c:v>0</c:v>
                </c:pt>
                <c:pt idx="1">
                  <c:v>0</c:v>
                </c:pt>
              </c:numCache>
            </c:numRef>
          </c:yVal>
          <c:smooth val="0"/>
          <c:extLst>
            <c:ext xmlns:c16="http://schemas.microsoft.com/office/drawing/2014/chart" uri="{C3380CC4-5D6E-409C-BE32-E72D297353CC}">
              <c16:uniqueId val="{00000003-2B9E-4927-BDD1-29081B63EE29}"/>
            </c:ext>
          </c:extLst>
        </c:ser>
        <c:ser>
          <c:idx val="10"/>
          <c:order val="4"/>
          <c:tx>
            <c:v>Trend</c:v>
          </c:tx>
          <c:spPr>
            <a:ln w="12700">
              <a:solidFill>
                <a:srgbClr val="808080"/>
              </a:solidFill>
              <a:prstDash val="solid"/>
            </a:ln>
          </c:spPr>
          <c:marker>
            <c:symbol val="none"/>
          </c:marker>
          <c:xVal>
            <c:numRef>
              <c:f>Ngesamt!$G$122:$G$123</c:f>
              <c:numCache>
                <c:formatCode>d/m/yyyy;@</c:formatCode>
                <c:ptCount val="2"/>
                <c:pt idx="0">
                  <c:v>0</c:v>
                </c:pt>
                <c:pt idx="1">
                  <c:v>0</c:v>
                </c:pt>
              </c:numCache>
            </c:numRef>
          </c:xVal>
          <c:yVal>
            <c:numRef>
              <c:f>Ngesamt!$J$122:$J$123</c:f>
              <c:numCache>
                <c:formatCode>General</c:formatCode>
                <c:ptCount val="2"/>
                <c:pt idx="0">
                  <c:v>0</c:v>
                </c:pt>
                <c:pt idx="1">
                  <c:v>0</c:v>
                </c:pt>
              </c:numCache>
            </c:numRef>
          </c:yVal>
          <c:smooth val="0"/>
          <c:extLst>
            <c:ext xmlns:c16="http://schemas.microsoft.com/office/drawing/2014/chart" uri="{C3380CC4-5D6E-409C-BE32-E72D297353CC}">
              <c16:uniqueId val="{00000004-2B9E-4927-BDD1-29081B63EE29}"/>
            </c:ext>
          </c:extLst>
        </c:ser>
        <c:ser>
          <c:idx val="2"/>
          <c:order val="5"/>
          <c:tx>
            <c:v>Q95u</c:v>
          </c:tx>
          <c:spPr>
            <a:ln w="12700">
              <a:solidFill>
                <a:srgbClr val="0000FF"/>
              </a:solidFill>
              <a:prstDash val="sysDash"/>
            </a:ln>
          </c:spPr>
          <c:marker>
            <c:symbol val="none"/>
          </c:marker>
          <c:xVal>
            <c:numRef>
              <c:f>Ngesamt!$E$57:$E$58</c:f>
              <c:numCache>
                <c:formatCode>m/d/yyyy</c:formatCode>
                <c:ptCount val="2"/>
                <c:pt idx="0">
                  <c:v>1</c:v>
                </c:pt>
                <c:pt idx="1">
                  <c:v>73415</c:v>
                </c:pt>
              </c:numCache>
            </c:numRef>
          </c:xVal>
          <c:yVal>
            <c:numRef>
              <c:f>Ngesamt!$G$57:$G$58</c:f>
              <c:numCache>
                <c:formatCode>0.000</c:formatCode>
                <c:ptCount val="2"/>
                <c:pt idx="0">
                  <c:v>0</c:v>
                </c:pt>
                <c:pt idx="1">
                  <c:v>0</c:v>
                </c:pt>
              </c:numCache>
            </c:numRef>
          </c:yVal>
          <c:smooth val="0"/>
          <c:extLst>
            <c:ext xmlns:c16="http://schemas.microsoft.com/office/drawing/2014/chart" uri="{C3380CC4-5D6E-409C-BE32-E72D297353CC}">
              <c16:uniqueId val="{00000005-2B9E-4927-BDD1-29081B63EE29}"/>
            </c:ext>
          </c:extLst>
        </c:ser>
        <c:ser>
          <c:idx val="3"/>
          <c:order val="6"/>
          <c:tx>
            <c:v>Q98</c:v>
          </c:tx>
          <c:spPr>
            <a:ln w="12700">
              <a:solidFill>
                <a:srgbClr val="0000FF"/>
              </a:solidFill>
              <a:prstDash val="solid"/>
            </a:ln>
          </c:spPr>
          <c:marker>
            <c:symbol val="none"/>
          </c:marker>
          <c:xVal>
            <c:numRef>
              <c:f>Ngesamt!$E$57:$E$58</c:f>
              <c:numCache>
                <c:formatCode>m/d/yyyy</c:formatCode>
                <c:ptCount val="2"/>
                <c:pt idx="0">
                  <c:v>1</c:v>
                </c:pt>
                <c:pt idx="1">
                  <c:v>73415</c:v>
                </c:pt>
              </c:numCache>
            </c:numRef>
          </c:xVal>
          <c:yVal>
            <c:numRef>
              <c:f>Ngesamt!$H$57:$H$58</c:f>
              <c:numCache>
                <c:formatCode>0.000</c:formatCode>
                <c:ptCount val="2"/>
                <c:pt idx="0">
                  <c:v>0</c:v>
                </c:pt>
                <c:pt idx="1">
                  <c:v>0</c:v>
                </c:pt>
              </c:numCache>
            </c:numRef>
          </c:yVal>
          <c:smooth val="0"/>
          <c:extLst>
            <c:ext xmlns:c16="http://schemas.microsoft.com/office/drawing/2014/chart" uri="{C3380CC4-5D6E-409C-BE32-E72D297353CC}">
              <c16:uniqueId val="{00000006-2B9E-4927-BDD1-29081B63EE29}"/>
            </c:ext>
          </c:extLst>
        </c:ser>
        <c:ser>
          <c:idx val="6"/>
          <c:order val="7"/>
          <c:tx>
            <c:v>Q98Log</c:v>
          </c:tx>
          <c:spPr>
            <a:ln w="12700">
              <a:solidFill>
                <a:srgbClr val="CC00FF"/>
              </a:solidFill>
            </a:ln>
          </c:spPr>
          <c:marker>
            <c:symbol val="none"/>
          </c:marker>
          <c:xVal>
            <c:numRef>
              <c:f>Ngesamt!$E$57:$E$58</c:f>
              <c:numCache>
                <c:formatCode>m/d/yyyy</c:formatCode>
                <c:ptCount val="2"/>
                <c:pt idx="0">
                  <c:v>1</c:v>
                </c:pt>
                <c:pt idx="1">
                  <c:v>73415</c:v>
                </c:pt>
              </c:numCache>
            </c:numRef>
          </c:xVal>
          <c:yVal>
            <c:numRef>
              <c:f>Ngesamt!$K$57:$K$58</c:f>
              <c:numCache>
                <c:formatCode>0.000</c:formatCode>
                <c:ptCount val="2"/>
                <c:pt idx="0">
                  <c:v>0</c:v>
                </c:pt>
                <c:pt idx="1">
                  <c:v>0</c:v>
                </c:pt>
              </c:numCache>
            </c:numRef>
          </c:yVal>
          <c:smooth val="0"/>
          <c:extLst>
            <c:ext xmlns:c16="http://schemas.microsoft.com/office/drawing/2014/chart" uri="{C3380CC4-5D6E-409C-BE32-E72D297353CC}">
              <c16:uniqueId val="{00000007-2B9E-4927-BDD1-29081B63EE29}"/>
            </c:ext>
          </c:extLst>
        </c:ser>
        <c:dLbls>
          <c:showLegendKey val="0"/>
          <c:showVal val="0"/>
          <c:showCatName val="0"/>
          <c:showSerName val="0"/>
          <c:showPercent val="0"/>
          <c:showBubbleSize val="0"/>
        </c:dLbls>
        <c:axId val="152427520"/>
        <c:axId val="152429312"/>
      </c:scatterChart>
      <c:valAx>
        <c:axId val="152427520"/>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2429312"/>
        <c:crossesAt val="0"/>
        <c:crossBetween val="midCat"/>
        <c:majorUnit val="1461"/>
        <c:minorUnit val="365.25"/>
      </c:valAx>
      <c:valAx>
        <c:axId val="152429312"/>
        <c:scaling>
          <c:orientation val="minMax"/>
          <c:max val="5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2427520"/>
        <c:crossesAt val="0"/>
        <c:crossBetween val="midCat"/>
        <c:majorUnit val="10"/>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Nitrat!$F$63:$F$113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Nitrat!$G$63:$G$113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1320-4A5E-B329-3FF06476F63F}"/>
            </c:ext>
          </c:extLst>
        </c:ser>
        <c:ser>
          <c:idx val="1"/>
          <c:order val="1"/>
          <c:tx>
            <c:v>LogNormalverteilung</c:v>
          </c:tx>
          <c:spPr>
            <a:ln w="25400">
              <a:solidFill>
                <a:srgbClr val="FF00FF"/>
              </a:solidFill>
              <a:prstDash val="solid"/>
            </a:ln>
          </c:spPr>
          <c:marker>
            <c:symbol val="none"/>
          </c:marker>
          <c:xVal>
            <c:numRef>
              <c:f>Nitrat!$I$63:$I$113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Nitrat!$J$63:$J$113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1320-4A5E-B329-3FF06476F63F}"/>
            </c:ext>
          </c:extLst>
        </c:ser>
        <c:ser>
          <c:idx val="2"/>
          <c:order val="2"/>
          <c:tx>
            <c:v>Histogramm</c:v>
          </c:tx>
          <c:spPr>
            <a:ln w="25400">
              <a:solidFill>
                <a:srgbClr val="969696"/>
              </a:solidFill>
              <a:prstDash val="lgDashDot"/>
            </a:ln>
          </c:spPr>
          <c:marker>
            <c:symbol val="none"/>
          </c:marker>
          <c:xVal>
            <c:numRef>
              <c:f>Nitrat!$T$46:$T$97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Nitrat!$U$46:$U$97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1320-4A5E-B329-3FF06476F63F}"/>
            </c:ext>
          </c:extLst>
        </c:ser>
        <c:ser>
          <c:idx val="3"/>
          <c:order val="3"/>
          <c:tx>
            <c:v>Q95 No</c:v>
          </c:tx>
          <c:spPr>
            <a:ln w="12700">
              <a:solidFill>
                <a:srgbClr val="0000FF"/>
              </a:solidFill>
              <a:prstDash val="sysDash"/>
            </a:ln>
          </c:spPr>
          <c:marker>
            <c:symbol val="none"/>
          </c:marker>
          <c:xVal>
            <c:numRef>
              <c:f>Nitrat!$U$3:$V$3</c:f>
              <c:numCache>
                <c:formatCode>0.000</c:formatCode>
                <c:ptCount val="2"/>
                <c:pt idx="0">
                  <c:v>0</c:v>
                </c:pt>
                <c:pt idx="1">
                  <c:v>0</c:v>
                </c:pt>
              </c:numCache>
            </c:numRef>
          </c:xVal>
          <c:yVal>
            <c:numRef>
              <c:f>Nitrat!$U$2:$V$2</c:f>
              <c:numCache>
                <c:formatCode>General</c:formatCode>
                <c:ptCount val="2"/>
                <c:pt idx="0">
                  <c:v>0</c:v>
                </c:pt>
                <c:pt idx="1">
                  <c:v>1000</c:v>
                </c:pt>
              </c:numCache>
            </c:numRef>
          </c:yVal>
          <c:smooth val="0"/>
          <c:extLst>
            <c:ext xmlns:c16="http://schemas.microsoft.com/office/drawing/2014/chart" uri="{C3380CC4-5D6E-409C-BE32-E72D297353CC}">
              <c16:uniqueId val="{00000003-1320-4A5E-B329-3FF06476F63F}"/>
            </c:ext>
          </c:extLst>
        </c:ser>
        <c:ser>
          <c:idx val="4"/>
          <c:order val="4"/>
          <c:tx>
            <c:v>Q95 Lo</c:v>
          </c:tx>
          <c:spPr>
            <a:ln w="12700">
              <a:solidFill>
                <a:srgbClr val="FF00FF"/>
              </a:solidFill>
              <a:prstDash val="sysDash"/>
            </a:ln>
          </c:spPr>
          <c:marker>
            <c:symbol val="none"/>
          </c:marker>
          <c:xVal>
            <c:numRef>
              <c:f>Nitrat!$U$4:$V$4</c:f>
              <c:numCache>
                <c:formatCode>0.000</c:formatCode>
                <c:ptCount val="2"/>
                <c:pt idx="0">
                  <c:v>0</c:v>
                </c:pt>
                <c:pt idx="1">
                  <c:v>0</c:v>
                </c:pt>
              </c:numCache>
            </c:numRef>
          </c:xVal>
          <c:yVal>
            <c:numRef>
              <c:f>Nitrat!$U$2:$V$2</c:f>
              <c:numCache>
                <c:formatCode>General</c:formatCode>
                <c:ptCount val="2"/>
                <c:pt idx="0">
                  <c:v>0</c:v>
                </c:pt>
                <c:pt idx="1">
                  <c:v>1000</c:v>
                </c:pt>
              </c:numCache>
            </c:numRef>
          </c:yVal>
          <c:smooth val="0"/>
          <c:extLst>
            <c:ext xmlns:c16="http://schemas.microsoft.com/office/drawing/2014/chart" uri="{C3380CC4-5D6E-409C-BE32-E72D297353CC}">
              <c16:uniqueId val="{00000004-1320-4A5E-B329-3FF06476F63F}"/>
            </c:ext>
          </c:extLst>
        </c:ser>
        <c:ser>
          <c:idx val="5"/>
          <c:order val="5"/>
          <c:tx>
            <c:v>Q98 No</c:v>
          </c:tx>
          <c:spPr>
            <a:ln w="12700">
              <a:solidFill>
                <a:srgbClr val="0000FF"/>
              </a:solidFill>
              <a:prstDash val="solid"/>
            </a:ln>
          </c:spPr>
          <c:marker>
            <c:symbol val="none"/>
          </c:marker>
          <c:xVal>
            <c:numRef>
              <c:f>Nitrat!$U$5:$V$5</c:f>
              <c:numCache>
                <c:formatCode>0.000</c:formatCode>
                <c:ptCount val="2"/>
                <c:pt idx="0">
                  <c:v>0</c:v>
                </c:pt>
                <c:pt idx="1">
                  <c:v>0</c:v>
                </c:pt>
              </c:numCache>
            </c:numRef>
          </c:xVal>
          <c:yVal>
            <c:numRef>
              <c:f>Nitrat!$U$2:$V$2</c:f>
              <c:numCache>
                <c:formatCode>General</c:formatCode>
                <c:ptCount val="2"/>
                <c:pt idx="0">
                  <c:v>0</c:v>
                </c:pt>
                <c:pt idx="1">
                  <c:v>1000</c:v>
                </c:pt>
              </c:numCache>
            </c:numRef>
          </c:yVal>
          <c:smooth val="0"/>
          <c:extLst>
            <c:ext xmlns:c16="http://schemas.microsoft.com/office/drawing/2014/chart" uri="{C3380CC4-5D6E-409C-BE32-E72D297353CC}">
              <c16:uniqueId val="{00000005-1320-4A5E-B329-3FF06476F63F}"/>
            </c:ext>
          </c:extLst>
        </c:ser>
        <c:ser>
          <c:idx val="6"/>
          <c:order val="6"/>
          <c:tx>
            <c:v>Q98 Lo</c:v>
          </c:tx>
          <c:spPr>
            <a:ln w="12700">
              <a:solidFill>
                <a:srgbClr val="FF00FF"/>
              </a:solidFill>
              <a:prstDash val="solid"/>
            </a:ln>
          </c:spPr>
          <c:marker>
            <c:symbol val="none"/>
          </c:marker>
          <c:xVal>
            <c:numRef>
              <c:f>Nitrat!$U$6:$V$6</c:f>
              <c:numCache>
                <c:formatCode>0.000</c:formatCode>
                <c:ptCount val="2"/>
                <c:pt idx="0">
                  <c:v>0</c:v>
                </c:pt>
                <c:pt idx="1">
                  <c:v>0</c:v>
                </c:pt>
              </c:numCache>
            </c:numRef>
          </c:xVal>
          <c:yVal>
            <c:numRef>
              <c:f>Nitrat!$U$2:$V$2</c:f>
              <c:numCache>
                <c:formatCode>General</c:formatCode>
                <c:ptCount val="2"/>
                <c:pt idx="0">
                  <c:v>0</c:v>
                </c:pt>
                <c:pt idx="1">
                  <c:v>1000</c:v>
                </c:pt>
              </c:numCache>
            </c:numRef>
          </c:yVal>
          <c:smooth val="0"/>
          <c:extLst>
            <c:ext xmlns:c16="http://schemas.microsoft.com/office/drawing/2014/chart" uri="{C3380CC4-5D6E-409C-BE32-E72D297353CC}">
              <c16:uniqueId val="{00000006-1320-4A5E-B329-3FF06476F63F}"/>
            </c:ext>
          </c:extLst>
        </c:ser>
        <c:ser>
          <c:idx val="7"/>
          <c:order val="7"/>
          <c:tx>
            <c:v>Q95u</c:v>
          </c:tx>
          <c:spPr>
            <a:ln w="12700">
              <a:solidFill>
                <a:srgbClr val="0000FF"/>
              </a:solidFill>
              <a:prstDash val="sysDash"/>
            </a:ln>
          </c:spPr>
          <c:marker>
            <c:symbol val="none"/>
          </c:marker>
          <c:xVal>
            <c:numRef>
              <c:f>Nitrat!$U$7:$V$7</c:f>
              <c:numCache>
                <c:formatCode>0.000</c:formatCode>
                <c:ptCount val="2"/>
                <c:pt idx="0">
                  <c:v>0</c:v>
                </c:pt>
                <c:pt idx="1">
                  <c:v>0</c:v>
                </c:pt>
              </c:numCache>
            </c:numRef>
          </c:xVal>
          <c:yVal>
            <c:numRef>
              <c:f>Nitrat!$U$2:$V$2</c:f>
              <c:numCache>
                <c:formatCode>General</c:formatCode>
                <c:ptCount val="2"/>
                <c:pt idx="0">
                  <c:v>0</c:v>
                </c:pt>
                <c:pt idx="1">
                  <c:v>1000</c:v>
                </c:pt>
              </c:numCache>
            </c:numRef>
          </c:yVal>
          <c:smooth val="0"/>
          <c:extLst>
            <c:ext xmlns:c16="http://schemas.microsoft.com/office/drawing/2014/chart" uri="{C3380CC4-5D6E-409C-BE32-E72D297353CC}">
              <c16:uniqueId val="{00000007-1320-4A5E-B329-3FF06476F63F}"/>
            </c:ext>
          </c:extLst>
        </c:ser>
        <c:ser>
          <c:idx val="8"/>
          <c:order val="8"/>
          <c:tx>
            <c:v>Q95u Lo</c:v>
          </c:tx>
          <c:spPr>
            <a:ln w="12700">
              <a:solidFill>
                <a:srgbClr val="FF00FF"/>
              </a:solidFill>
              <a:prstDash val="sysDash"/>
            </a:ln>
          </c:spPr>
          <c:marker>
            <c:symbol val="none"/>
          </c:marker>
          <c:xVal>
            <c:numRef>
              <c:f>Nitrat!$U$8:$V$8</c:f>
              <c:numCache>
                <c:formatCode>0.000</c:formatCode>
                <c:ptCount val="2"/>
                <c:pt idx="0">
                  <c:v>0</c:v>
                </c:pt>
                <c:pt idx="1">
                  <c:v>0</c:v>
                </c:pt>
              </c:numCache>
            </c:numRef>
          </c:xVal>
          <c:yVal>
            <c:numRef>
              <c:f>Nitrat!$U$2:$V$2</c:f>
              <c:numCache>
                <c:formatCode>General</c:formatCode>
                <c:ptCount val="2"/>
                <c:pt idx="0">
                  <c:v>0</c:v>
                </c:pt>
                <c:pt idx="1">
                  <c:v>1000</c:v>
                </c:pt>
              </c:numCache>
            </c:numRef>
          </c:yVal>
          <c:smooth val="0"/>
          <c:extLst>
            <c:ext xmlns:c16="http://schemas.microsoft.com/office/drawing/2014/chart" uri="{C3380CC4-5D6E-409C-BE32-E72D297353CC}">
              <c16:uniqueId val="{00000008-1320-4A5E-B329-3FF06476F63F}"/>
            </c:ext>
          </c:extLst>
        </c:ser>
        <c:ser>
          <c:idx val="9"/>
          <c:order val="9"/>
          <c:tx>
            <c:v>Median</c:v>
          </c:tx>
          <c:spPr>
            <a:ln w="12700">
              <a:solidFill>
                <a:srgbClr val="969696"/>
              </a:solidFill>
              <a:prstDash val="lgDashDotDot"/>
            </a:ln>
          </c:spPr>
          <c:marker>
            <c:symbol val="none"/>
          </c:marker>
          <c:xVal>
            <c:numRef>
              <c:f>Nitrat!$U$11:$V$11</c:f>
              <c:numCache>
                <c:formatCode>0.000</c:formatCode>
                <c:ptCount val="2"/>
                <c:pt idx="0">
                  <c:v>0</c:v>
                </c:pt>
                <c:pt idx="1">
                  <c:v>0</c:v>
                </c:pt>
              </c:numCache>
            </c:numRef>
          </c:xVal>
          <c:yVal>
            <c:numRef>
              <c:f>Nitrat!$U$2:$V$2</c:f>
              <c:numCache>
                <c:formatCode>General</c:formatCode>
                <c:ptCount val="2"/>
                <c:pt idx="0">
                  <c:v>0</c:v>
                </c:pt>
                <c:pt idx="1">
                  <c:v>1000</c:v>
                </c:pt>
              </c:numCache>
            </c:numRef>
          </c:yVal>
          <c:smooth val="0"/>
          <c:extLst>
            <c:ext xmlns:c16="http://schemas.microsoft.com/office/drawing/2014/chart" uri="{C3380CC4-5D6E-409C-BE32-E72D297353CC}">
              <c16:uniqueId val="{00000009-1320-4A5E-B329-3FF06476F63F}"/>
            </c:ext>
          </c:extLst>
        </c:ser>
        <c:dLbls>
          <c:showLegendKey val="0"/>
          <c:showVal val="0"/>
          <c:showCatName val="0"/>
          <c:showSerName val="0"/>
          <c:showPercent val="0"/>
          <c:showBubbleSize val="0"/>
        </c:dLbls>
        <c:axId val="152832256"/>
        <c:axId val="152842240"/>
      </c:scatterChart>
      <c:valAx>
        <c:axId val="152832256"/>
        <c:scaling>
          <c:orientation val="minMax"/>
          <c:max val="1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2842240"/>
        <c:crosses val="autoZero"/>
        <c:crossBetween val="midCat"/>
        <c:majorUnit val="20"/>
        <c:minorUnit val="5"/>
      </c:valAx>
      <c:valAx>
        <c:axId val="152842240"/>
        <c:scaling>
          <c:orientation val="minMax"/>
          <c:max val="0.1"/>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2832256"/>
        <c:crosses val="autoZero"/>
        <c:crossBetween val="midCat"/>
        <c:majorUnit val="2.0000000000000004E-2"/>
        <c:minorUnit val="1.0000000000000002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Nitrat!$M$3:$M$252</c:f>
              <c:numCache>
                <c:formatCode>d/m/yyyy;@</c:formatCode>
                <c:ptCount val="250"/>
              </c:numCache>
            </c:numRef>
          </c:xVal>
          <c:yVal>
            <c:numRef>
              <c:f>Nitrat!$N$3:$N$252</c:f>
              <c:numCache>
                <c:formatCode>General</c:formatCode>
                <c:ptCount val="250"/>
              </c:numCache>
            </c:numRef>
          </c:yVal>
          <c:smooth val="0"/>
          <c:extLst>
            <c:ext xmlns:c16="http://schemas.microsoft.com/office/drawing/2014/chart" uri="{C3380CC4-5D6E-409C-BE32-E72D297353CC}">
              <c16:uniqueId val="{00000000-B21A-4A2E-A206-3CA6CC057251}"/>
            </c:ext>
          </c:extLst>
        </c:ser>
        <c:ser>
          <c:idx val="1"/>
          <c:order val="1"/>
          <c:tx>
            <c:v>Q95</c:v>
          </c:tx>
          <c:spPr>
            <a:ln w="12700">
              <a:solidFill>
                <a:srgbClr val="0000FF"/>
              </a:solidFill>
              <a:prstDash val="sysDash"/>
            </a:ln>
          </c:spPr>
          <c:marker>
            <c:symbol val="none"/>
          </c:marker>
          <c:xVal>
            <c:numRef>
              <c:f>Nitrat!$E$57:$E$58</c:f>
              <c:numCache>
                <c:formatCode>m/d/yyyy</c:formatCode>
                <c:ptCount val="2"/>
                <c:pt idx="0">
                  <c:v>1</c:v>
                </c:pt>
                <c:pt idx="1">
                  <c:v>51501</c:v>
                </c:pt>
              </c:numCache>
            </c:numRef>
          </c:xVal>
          <c:yVal>
            <c:numRef>
              <c:f>Nitrat!$F$57:$F$58</c:f>
              <c:numCache>
                <c:formatCode>0.000</c:formatCode>
                <c:ptCount val="2"/>
                <c:pt idx="0">
                  <c:v>0</c:v>
                </c:pt>
                <c:pt idx="1">
                  <c:v>0</c:v>
                </c:pt>
              </c:numCache>
            </c:numRef>
          </c:yVal>
          <c:smooth val="0"/>
          <c:extLst>
            <c:ext xmlns:c16="http://schemas.microsoft.com/office/drawing/2014/chart" uri="{C3380CC4-5D6E-409C-BE32-E72D297353CC}">
              <c16:uniqueId val="{00000001-B21A-4A2E-A206-3CA6CC057251}"/>
            </c:ext>
          </c:extLst>
        </c:ser>
        <c:ser>
          <c:idx val="4"/>
          <c:order val="2"/>
          <c:tx>
            <c:v>Q95Log</c:v>
          </c:tx>
          <c:spPr>
            <a:ln w="12700">
              <a:solidFill>
                <a:srgbClr val="FF00FF"/>
              </a:solidFill>
              <a:prstDash val="sysDash"/>
            </a:ln>
          </c:spPr>
          <c:marker>
            <c:symbol val="none"/>
          </c:marker>
          <c:xVal>
            <c:numRef>
              <c:f>Nitrat!$E$57:$E$58</c:f>
              <c:numCache>
                <c:formatCode>m/d/yyyy</c:formatCode>
                <c:ptCount val="2"/>
                <c:pt idx="0">
                  <c:v>1</c:v>
                </c:pt>
                <c:pt idx="1">
                  <c:v>51501</c:v>
                </c:pt>
              </c:numCache>
            </c:numRef>
          </c:xVal>
          <c:yVal>
            <c:numRef>
              <c:f>Nitrat!$J$57:$J$58</c:f>
              <c:numCache>
                <c:formatCode>0.000</c:formatCode>
                <c:ptCount val="2"/>
                <c:pt idx="0">
                  <c:v>0</c:v>
                </c:pt>
                <c:pt idx="1">
                  <c:v>0</c:v>
                </c:pt>
              </c:numCache>
            </c:numRef>
          </c:yVal>
          <c:smooth val="0"/>
          <c:extLst>
            <c:ext xmlns:c16="http://schemas.microsoft.com/office/drawing/2014/chart" uri="{C3380CC4-5D6E-409C-BE32-E72D297353CC}">
              <c16:uniqueId val="{00000002-B21A-4A2E-A206-3CA6CC057251}"/>
            </c:ext>
          </c:extLst>
        </c:ser>
        <c:ser>
          <c:idx val="9"/>
          <c:order val="3"/>
          <c:tx>
            <c:v>vT</c:v>
          </c:tx>
          <c:spPr>
            <a:ln w="12700">
              <a:solidFill>
                <a:srgbClr val="808080"/>
              </a:solidFill>
              <a:prstDash val="sysDash"/>
            </a:ln>
          </c:spPr>
          <c:marker>
            <c:symbol val="none"/>
          </c:marker>
          <c:xVal>
            <c:numRef>
              <c:f>Nitrat!$G$122:$G$123</c:f>
              <c:numCache>
                <c:formatCode>d/m/yyyy;@</c:formatCode>
                <c:ptCount val="2"/>
                <c:pt idx="0">
                  <c:v>0</c:v>
                </c:pt>
                <c:pt idx="1">
                  <c:v>0</c:v>
                </c:pt>
              </c:numCache>
            </c:numRef>
          </c:xVal>
          <c:yVal>
            <c:numRef>
              <c:f>Nitrat!$I$122:$I$123</c:f>
              <c:numCache>
                <c:formatCode>General</c:formatCode>
                <c:ptCount val="2"/>
                <c:pt idx="0">
                  <c:v>0</c:v>
                </c:pt>
                <c:pt idx="1">
                  <c:v>0</c:v>
                </c:pt>
              </c:numCache>
            </c:numRef>
          </c:yVal>
          <c:smooth val="0"/>
          <c:extLst>
            <c:ext xmlns:c16="http://schemas.microsoft.com/office/drawing/2014/chart" uri="{C3380CC4-5D6E-409C-BE32-E72D297353CC}">
              <c16:uniqueId val="{00000003-B21A-4A2E-A206-3CA6CC057251}"/>
            </c:ext>
          </c:extLst>
        </c:ser>
        <c:ser>
          <c:idx val="10"/>
          <c:order val="4"/>
          <c:tx>
            <c:v>Trend</c:v>
          </c:tx>
          <c:spPr>
            <a:ln w="12700">
              <a:solidFill>
                <a:srgbClr val="808080"/>
              </a:solidFill>
              <a:prstDash val="solid"/>
            </a:ln>
          </c:spPr>
          <c:marker>
            <c:symbol val="none"/>
          </c:marker>
          <c:xVal>
            <c:numRef>
              <c:f>Nitrat!$G$122:$G$123</c:f>
              <c:numCache>
                <c:formatCode>d/m/yyyy;@</c:formatCode>
                <c:ptCount val="2"/>
                <c:pt idx="0">
                  <c:v>0</c:v>
                </c:pt>
                <c:pt idx="1">
                  <c:v>0</c:v>
                </c:pt>
              </c:numCache>
            </c:numRef>
          </c:xVal>
          <c:yVal>
            <c:numRef>
              <c:f>Nitrat!$J$122:$J$123</c:f>
              <c:numCache>
                <c:formatCode>General</c:formatCode>
                <c:ptCount val="2"/>
                <c:pt idx="0">
                  <c:v>0</c:v>
                </c:pt>
                <c:pt idx="1">
                  <c:v>0</c:v>
                </c:pt>
              </c:numCache>
            </c:numRef>
          </c:yVal>
          <c:smooth val="0"/>
          <c:extLst>
            <c:ext xmlns:c16="http://schemas.microsoft.com/office/drawing/2014/chart" uri="{C3380CC4-5D6E-409C-BE32-E72D297353CC}">
              <c16:uniqueId val="{00000004-B21A-4A2E-A206-3CA6CC057251}"/>
            </c:ext>
          </c:extLst>
        </c:ser>
        <c:ser>
          <c:idx val="2"/>
          <c:order val="5"/>
          <c:tx>
            <c:v>Q95u</c:v>
          </c:tx>
          <c:spPr>
            <a:ln w="12700">
              <a:solidFill>
                <a:srgbClr val="0000FF"/>
              </a:solidFill>
              <a:prstDash val="sysDash"/>
            </a:ln>
          </c:spPr>
          <c:marker>
            <c:symbol val="none"/>
          </c:marker>
          <c:xVal>
            <c:numRef>
              <c:f>Nitrat!$E$57:$E$58</c:f>
              <c:numCache>
                <c:formatCode>m/d/yyyy</c:formatCode>
                <c:ptCount val="2"/>
                <c:pt idx="0">
                  <c:v>1</c:v>
                </c:pt>
                <c:pt idx="1">
                  <c:v>51501</c:v>
                </c:pt>
              </c:numCache>
            </c:numRef>
          </c:xVal>
          <c:yVal>
            <c:numRef>
              <c:f>Nitrat!$G$57:$G$58</c:f>
              <c:numCache>
                <c:formatCode>0.000</c:formatCode>
                <c:ptCount val="2"/>
                <c:pt idx="0">
                  <c:v>0</c:v>
                </c:pt>
                <c:pt idx="1">
                  <c:v>0</c:v>
                </c:pt>
              </c:numCache>
            </c:numRef>
          </c:yVal>
          <c:smooth val="0"/>
          <c:extLst>
            <c:ext xmlns:c16="http://schemas.microsoft.com/office/drawing/2014/chart" uri="{C3380CC4-5D6E-409C-BE32-E72D297353CC}">
              <c16:uniqueId val="{00000005-B21A-4A2E-A206-3CA6CC057251}"/>
            </c:ext>
          </c:extLst>
        </c:ser>
        <c:ser>
          <c:idx val="3"/>
          <c:order val="6"/>
          <c:tx>
            <c:v>Q98</c:v>
          </c:tx>
          <c:spPr>
            <a:ln w="12700">
              <a:solidFill>
                <a:srgbClr val="0000FF"/>
              </a:solidFill>
              <a:prstDash val="solid"/>
            </a:ln>
          </c:spPr>
          <c:marker>
            <c:symbol val="none"/>
          </c:marker>
          <c:xVal>
            <c:numRef>
              <c:f>Nitrat!$E$57:$E$58</c:f>
              <c:numCache>
                <c:formatCode>m/d/yyyy</c:formatCode>
                <c:ptCount val="2"/>
                <c:pt idx="0">
                  <c:v>1</c:v>
                </c:pt>
                <c:pt idx="1">
                  <c:v>51501</c:v>
                </c:pt>
              </c:numCache>
            </c:numRef>
          </c:xVal>
          <c:yVal>
            <c:numRef>
              <c:f>Nitrat!$H$57:$H$58</c:f>
              <c:numCache>
                <c:formatCode>0.000</c:formatCode>
                <c:ptCount val="2"/>
                <c:pt idx="0">
                  <c:v>0</c:v>
                </c:pt>
                <c:pt idx="1">
                  <c:v>0</c:v>
                </c:pt>
              </c:numCache>
            </c:numRef>
          </c:yVal>
          <c:smooth val="0"/>
          <c:extLst>
            <c:ext xmlns:c16="http://schemas.microsoft.com/office/drawing/2014/chart" uri="{C3380CC4-5D6E-409C-BE32-E72D297353CC}">
              <c16:uniqueId val="{00000006-B21A-4A2E-A206-3CA6CC057251}"/>
            </c:ext>
          </c:extLst>
        </c:ser>
        <c:ser>
          <c:idx val="6"/>
          <c:order val="7"/>
          <c:tx>
            <c:v>Q98Log</c:v>
          </c:tx>
          <c:spPr>
            <a:ln w="12700">
              <a:solidFill>
                <a:srgbClr val="CC00FF"/>
              </a:solidFill>
            </a:ln>
          </c:spPr>
          <c:marker>
            <c:symbol val="none"/>
          </c:marker>
          <c:xVal>
            <c:numRef>
              <c:f>Nitrat!$E$57:$E$58</c:f>
              <c:numCache>
                <c:formatCode>m/d/yyyy</c:formatCode>
                <c:ptCount val="2"/>
                <c:pt idx="0">
                  <c:v>1</c:v>
                </c:pt>
                <c:pt idx="1">
                  <c:v>51501</c:v>
                </c:pt>
              </c:numCache>
            </c:numRef>
          </c:xVal>
          <c:yVal>
            <c:numRef>
              <c:f>Nitrat!$K$57:$K$58</c:f>
              <c:numCache>
                <c:formatCode>0.000</c:formatCode>
                <c:ptCount val="2"/>
                <c:pt idx="0">
                  <c:v>0</c:v>
                </c:pt>
                <c:pt idx="1">
                  <c:v>0</c:v>
                </c:pt>
              </c:numCache>
            </c:numRef>
          </c:yVal>
          <c:smooth val="0"/>
          <c:extLst>
            <c:ext xmlns:c16="http://schemas.microsoft.com/office/drawing/2014/chart" uri="{C3380CC4-5D6E-409C-BE32-E72D297353CC}">
              <c16:uniqueId val="{00000007-B21A-4A2E-A206-3CA6CC057251}"/>
            </c:ext>
          </c:extLst>
        </c:ser>
        <c:dLbls>
          <c:showLegendKey val="0"/>
          <c:showVal val="0"/>
          <c:showCatName val="0"/>
          <c:showSerName val="0"/>
          <c:showPercent val="0"/>
          <c:showBubbleSize val="0"/>
        </c:dLbls>
        <c:axId val="152875776"/>
        <c:axId val="152877312"/>
      </c:scatterChart>
      <c:valAx>
        <c:axId val="152875776"/>
        <c:scaling>
          <c:orientation val="minMax"/>
          <c:max val="44196"/>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2877312"/>
        <c:crossesAt val="0"/>
        <c:crossBetween val="midCat"/>
        <c:majorUnit val="1461"/>
        <c:minorUnit val="365.25"/>
      </c:valAx>
      <c:valAx>
        <c:axId val="152877312"/>
        <c:scaling>
          <c:orientation val="minMax"/>
          <c:max val="7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2875776"/>
        <c:crossesAt val="0"/>
        <c:crossBetween val="midCat"/>
        <c:majorUnit val="10"/>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Ammonium!$F$63:$F$113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Ammonium!$G$63:$G$113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7E8B-4E69-9A6C-CE6431ACE709}"/>
            </c:ext>
          </c:extLst>
        </c:ser>
        <c:ser>
          <c:idx val="1"/>
          <c:order val="1"/>
          <c:tx>
            <c:v>LogNormalverteilung</c:v>
          </c:tx>
          <c:spPr>
            <a:ln w="25400">
              <a:solidFill>
                <a:srgbClr val="FF00FF"/>
              </a:solidFill>
              <a:prstDash val="solid"/>
            </a:ln>
          </c:spPr>
          <c:marker>
            <c:symbol val="none"/>
          </c:marker>
          <c:xVal>
            <c:numRef>
              <c:f>Ammonium!$I$63:$I$113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Ammonium!$J$63:$J$113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7E8B-4E69-9A6C-CE6431ACE709}"/>
            </c:ext>
          </c:extLst>
        </c:ser>
        <c:ser>
          <c:idx val="2"/>
          <c:order val="2"/>
          <c:tx>
            <c:v>Histogramm</c:v>
          </c:tx>
          <c:spPr>
            <a:ln w="25400">
              <a:solidFill>
                <a:srgbClr val="969696"/>
              </a:solidFill>
              <a:prstDash val="lgDashDot"/>
            </a:ln>
          </c:spPr>
          <c:marker>
            <c:symbol val="none"/>
          </c:marker>
          <c:xVal>
            <c:numRef>
              <c:f>Ammonium!$T$46:$T$97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Ammonium!$U$46:$U$97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7E8B-4E69-9A6C-CE6431ACE709}"/>
            </c:ext>
          </c:extLst>
        </c:ser>
        <c:ser>
          <c:idx val="3"/>
          <c:order val="3"/>
          <c:tx>
            <c:v>Q95 No</c:v>
          </c:tx>
          <c:spPr>
            <a:ln w="12700">
              <a:solidFill>
                <a:srgbClr val="0000FF"/>
              </a:solidFill>
              <a:prstDash val="sysDash"/>
            </a:ln>
          </c:spPr>
          <c:marker>
            <c:symbol val="none"/>
          </c:marker>
          <c:xVal>
            <c:numRef>
              <c:f>Ammonium!$U$3:$V$3</c:f>
              <c:numCache>
                <c:formatCode>0.000</c:formatCode>
                <c:ptCount val="2"/>
                <c:pt idx="0">
                  <c:v>0</c:v>
                </c:pt>
                <c:pt idx="1">
                  <c:v>0</c:v>
                </c:pt>
              </c:numCache>
            </c:numRef>
          </c:xVal>
          <c:yVal>
            <c:numRef>
              <c:f>Ammonium!$U$2:$V$2</c:f>
              <c:numCache>
                <c:formatCode>General</c:formatCode>
                <c:ptCount val="2"/>
                <c:pt idx="0">
                  <c:v>0</c:v>
                </c:pt>
                <c:pt idx="1">
                  <c:v>1000</c:v>
                </c:pt>
              </c:numCache>
            </c:numRef>
          </c:yVal>
          <c:smooth val="0"/>
          <c:extLst>
            <c:ext xmlns:c16="http://schemas.microsoft.com/office/drawing/2014/chart" uri="{C3380CC4-5D6E-409C-BE32-E72D297353CC}">
              <c16:uniqueId val="{00000003-7E8B-4E69-9A6C-CE6431ACE709}"/>
            </c:ext>
          </c:extLst>
        </c:ser>
        <c:ser>
          <c:idx val="4"/>
          <c:order val="4"/>
          <c:tx>
            <c:v>Q95 Lo</c:v>
          </c:tx>
          <c:spPr>
            <a:ln w="12700">
              <a:solidFill>
                <a:srgbClr val="FF00FF"/>
              </a:solidFill>
              <a:prstDash val="sysDash"/>
            </a:ln>
          </c:spPr>
          <c:marker>
            <c:symbol val="none"/>
          </c:marker>
          <c:xVal>
            <c:numRef>
              <c:f>Ammonium!$U$4:$V$4</c:f>
              <c:numCache>
                <c:formatCode>0.000</c:formatCode>
                <c:ptCount val="2"/>
                <c:pt idx="0">
                  <c:v>0</c:v>
                </c:pt>
                <c:pt idx="1">
                  <c:v>0</c:v>
                </c:pt>
              </c:numCache>
            </c:numRef>
          </c:xVal>
          <c:yVal>
            <c:numRef>
              <c:f>Ammonium!$U$2:$V$2</c:f>
              <c:numCache>
                <c:formatCode>General</c:formatCode>
                <c:ptCount val="2"/>
                <c:pt idx="0">
                  <c:v>0</c:v>
                </c:pt>
                <c:pt idx="1">
                  <c:v>1000</c:v>
                </c:pt>
              </c:numCache>
            </c:numRef>
          </c:yVal>
          <c:smooth val="0"/>
          <c:extLst>
            <c:ext xmlns:c16="http://schemas.microsoft.com/office/drawing/2014/chart" uri="{C3380CC4-5D6E-409C-BE32-E72D297353CC}">
              <c16:uniqueId val="{00000004-7E8B-4E69-9A6C-CE6431ACE709}"/>
            </c:ext>
          </c:extLst>
        </c:ser>
        <c:ser>
          <c:idx val="5"/>
          <c:order val="5"/>
          <c:tx>
            <c:v>Q98 No</c:v>
          </c:tx>
          <c:spPr>
            <a:ln w="12700">
              <a:solidFill>
                <a:srgbClr val="0000FF"/>
              </a:solidFill>
              <a:prstDash val="solid"/>
            </a:ln>
          </c:spPr>
          <c:marker>
            <c:symbol val="none"/>
          </c:marker>
          <c:xVal>
            <c:numRef>
              <c:f>Ammonium!$U$5:$V$5</c:f>
              <c:numCache>
                <c:formatCode>0.000</c:formatCode>
                <c:ptCount val="2"/>
                <c:pt idx="0">
                  <c:v>0</c:v>
                </c:pt>
                <c:pt idx="1">
                  <c:v>0</c:v>
                </c:pt>
              </c:numCache>
            </c:numRef>
          </c:xVal>
          <c:yVal>
            <c:numRef>
              <c:f>Ammonium!$U$2:$V$2</c:f>
              <c:numCache>
                <c:formatCode>General</c:formatCode>
                <c:ptCount val="2"/>
                <c:pt idx="0">
                  <c:v>0</c:v>
                </c:pt>
                <c:pt idx="1">
                  <c:v>1000</c:v>
                </c:pt>
              </c:numCache>
            </c:numRef>
          </c:yVal>
          <c:smooth val="0"/>
          <c:extLst>
            <c:ext xmlns:c16="http://schemas.microsoft.com/office/drawing/2014/chart" uri="{C3380CC4-5D6E-409C-BE32-E72D297353CC}">
              <c16:uniqueId val="{00000005-7E8B-4E69-9A6C-CE6431ACE709}"/>
            </c:ext>
          </c:extLst>
        </c:ser>
        <c:ser>
          <c:idx val="6"/>
          <c:order val="6"/>
          <c:tx>
            <c:v>Q98 Lo</c:v>
          </c:tx>
          <c:spPr>
            <a:ln w="12700">
              <a:solidFill>
                <a:srgbClr val="FF00FF"/>
              </a:solidFill>
              <a:prstDash val="solid"/>
            </a:ln>
          </c:spPr>
          <c:marker>
            <c:symbol val="none"/>
          </c:marker>
          <c:xVal>
            <c:numRef>
              <c:f>Ammonium!$U$6:$V$6</c:f>
              <c:numCache>
                <c:formatCode>0.000</c:formatCode>
                <c:ptCount val="2"/>
                <c:pt idx="0">
                  <c:v>0</c:v>
                </c:pt>
                <c:pt idx="1">
                  <c:v>0</c:v>
                </c:pt>
              </c:numCache>
            </c:numRef>
          </c:xVal>
          <c:yVal>
            <c:numRef>
              <c:f>Ammonium!$U$2:$V$2</c:f>
              <c:numCache>
                <c:formatCode>General</c:formatCode>
                <c:ptCount val="2"/>
                <c:pt idx="0">
                  <c:v>0</c:v>
                </c:pt>
                <c:pt idx="1">
                  <c:v>1000</c:v>
                </c:pt>
              </c:numCache>
            </c:numRef>
          </c:yVal>
          <c:smooth val="0"/>
          <c:extLst>
            <c:ext xmlns:c16="http://schemas.microsoft.com/office/drawing/2014/chart" uri="{C3380CC4-5D6E-409C-BE32-E72D297353CC}">
              <c16:uniqueId val="{00000006-7E8B-4E69-9A6C-CE6431ACE709}"/>
            </c:ext>
          </c:extLst>
        </c:ser>
        <c:ser>
          <c:idx val="7"/>
          <c:order val="7"/>
          <c:tx>
            <c:v>Q95u</c:v>
          </c:tx>
          <c:spPr>
            <a:ln w="12700">
              <a:solidFill>
                <a:srgbClr val="0000FF"/>
              </a:solidFill>
              <a:prstDash val="sysDash"/>
            </a:ln>
          </c:spPr>
          <c:marker>
            <c:symbol val="none"/>
          </c:marker>
          <c:xVal>
            <c:numRef>
              <c:f>Ammonium!$U$7:$V$7</c:f>
              <c:numCache>
                <c:formatCode>0.000</c:formatCode>
                <c:ptCount val="2"/>
                <c:pt idx="0">
                  <c:v>0</c:v>
                </c:pt>
                <c:pt idx="1">
                  <c:v>0</c:v>
                </c:pt>
              </c:numCache>
            </c:numRef>
          </c:xVal>
          <c:yVal>
            <c:numRef>
              <c:f>Ammonium!$U$2:$V$2</c:f>
              <c:numCache>
                <c:formatCode>General</c:formatCode>
                <c:ptCount val="2"/>
                <c:pt idx="0">
                  <c:v>0</c:v>
                </c:pt>
                <c:pt idx="1">
                  <c:v>1000</c:v>
                </c:pt>
              </c:numCache>
            </c:numRef>
          </c:yVal>
          <c:smooth val="0"/>
          <c:extLst>
            <c:ext xmlns:c16="http://schemas.microsoft.com/office/drawing/2014/chart" uri="{C3380CC4-5D6E-409C-BE32-E72D297353CC}">
              <c16:uniqueId val="{00000007-7E8B-4E69-9A6C-CE6431ACE709}"/>
            </c:ext>
          </c:extLst>
        </c:ser>
        <c:ser>
          <c:idx val="8"/>
          <c:order val="8"/>
          <c:tx>
            <c:v>Q95u Lo</c:v>
          </c:tx>
          <c:spPr>
            <a:ln w="12700">
              <a:solidFill>
                <a:srgbClr val="FF00FF"/>
              </a:solidFill>
              <a:prstDash val="sysDash"/>
            </a:ln>
          </c:spPr>
          <c:marker>
            <c:symbol val="none"/>
          </c:marker>
          <c:xVal>
            <c:numRef>
              <c:f>Ammonium!$U$8:$V$8</c:f>
              <c:numCache>
                <c:formatCode>0.000</c:formatCode>
                <c:ptCount val="2"/>
                <c:pt idx="0">
                  <c:v>0</c:v>
                </c:pt>
                <c:pt idx="1">
                  <c:v>0</c:v>
                </c:pt>
              </c:numCache>
            </c:numRef>
          </c:xVal>
          <c:yVal>
            <c:numRef>
              <c:f>Ammonium!$U$2:$V$2</c:f>
              <c:numCache>
                <c:formatCode>General</c:formatCode>
                <c:ptCount val="2"/>
                <c:pt idx="0">
                  <c:v>0</c:v>
                </c:pt>
                <c:pt idx="1">
                  <c:v>1000</c:v>
                </c:pt>
              </c:numCache>
            </c:numRef>
          </c:yVal>
          <c:smooth val="0"/>
          <c:extLst>
            <c:ext xmlns:c16="http://schemas.microsoft.com/office/drawing/2014/chart" uri="{C3380CC4-5D6E-409C-BE32-E72D297353CC}">
              <c16:uniqueId val="{00000008-7E8B-4E69-9A6C-CE6431ACE709}"/>
            </c:ext>
          </c:extLst>
        </c:ser>
        <c:ser>
          <c:idx val="9"/>
          <c:order val="9"/>
          <c:tx>
            <c:v>Median</c:v>
          </c:tx>
          <c:spPr>
            <a:ln w="12700">
              <a:solidFill>
                <a:srgbClr val="969696"/>
              </a:solidFill>
              <a:prstDash val="lgDashDotDot"/>
            </a:ln>
          </c:spPr>
          <c:marker>
            <c:symbol val="none"/>
          </c:marker>
          <c:xVal>
            <c:numRef>
              <c:f>Ammonium!$U$11:$V$11</c:f>
              <c:numCache>
                <c:formatCode>0.000</c:formatCode>
                <c:ptCount val="2"/>
                <c:pt idx="0">
                  <c:v>0</c:v>
                </c:pt>
                <c:pt idx="1">
                  <c:v>0</c:v>
                </c:pt>
              </c:numCache>
            </c:numRef>
          </c:xVal>
          <c:yVal>
            <c:numRef>
              <c:f>Ammonium!$U$2:$V$2</c:f>
              <c:numCache>
                <c:formatCode>General</c:formatCode>
                <c:ptCount val="2"/>
                <c:pt idx="0">
                  <c:v>0</c:v>
                </c:pt>
                <c:pt idx="1">
                  <c:v>1000</c:v>
                </c:pt>
              </c:numCache>
            </c:numRef>
          </c:yVal>
          <c:smooth val="0"/>
          <c:extLst>
            <c:ext xmlns:c16="http://schemas.microsoft.com/office/drawing/2014/chart" uri="{C3380CC4-5D6E-409C-BE32-E72D297353CC}">
              <c16:uniqueId val="{00000009-7E8B-4E69-9A6C-CE6431ACE709}"/>
            </c:ext>
          </c:extLst>
        </c:ser>
        <c:dLbls>
          <c:showLegendKey val="0"/>
          <c:showVal val="0"/>
          <c:showCatName val="0"/>
          <c:showSerName val="0"/>
          <c:showPercent val="0"/>
          <c:showBubbleSize val="0"/>
        </c:dLbls>
        <c:axId val="152596480"/>
        <c:axId val="152598016"/>
      </c:scatterChart>
      <c:valAx>
        <c:axId val="152596480"/>
        <c:scaling>
          <c:orientation val="minMax"/>
          <c:max val="0.2"/>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2598016"/>
        <c:crosses val="autoZero"/>
        <c:crossBetween val="midCat"/>
        <c:majorUnit val="5.000000000000001E-2"/>
        <c:minorUnit val="1.0000000000000002E-2"/>
      </c:valAx>
      <c:valAx>
        <c:axId val="152598016"/>
        <c:scaling>
          <c:orientation val="minMax"/>
          <c:max val="4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2596480"/>
        <c:crosses val="autoZero"/>
        <c:crossBetween val="midCat"/>
        <c:majorUnit val="5"/>
        <c:minorUnit val="1"/>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Ammonium!$M$3:$M$252</c:f>
              <c:numCache>
                <c:formatCode>d/m/yyyy;@</c:formatCode>
                <c:ptCount val="250"/>
              </c:numCache>
            </c:numRef>
          </c:xVal>
          <c:yVal>
            <c:numRef>
              <c:f>Ammonium!$N$3:$N$252</c:f>
              <c:numCache>
                <c:formatCode>General</c:formatCode>
                <c:ptCount val="250"/>
              </c:numCache>
            </c:numRef>
          </c:yVal>
          <c:smooth val="0"/>
          <c:extLst>
            <c:ext xmlns:c16="http://schemas.microsoft.com/office/drawing/2014/chart" uri="{C3380CC4-5D6E-409C-BE32-E72D297353CC}">
              <c16:uniqueId val="{00000000-EE35-4766-92C8-26995B2B4DA5}"/>
            </c:ext>
          </c:extLst>
        </c:ser>
        <c:ser>
          <c:idx val="1"/>
          <c:order val="1"/>
          <c:tx>
            <c:v>Q95</c:v>
          </c:tx>
          <c:spPr>
            <a:ln w="12700">
              <a:solidFill>
                <a:srgbClr val="0000FF"/>
              </a:solidFill>
              <a:prstDash val="sysDash"/>
            </a:ln>
          </c:spPr>
          <c:marker>
            <c:symbol val="none"/>
          </c:marker>
          <c:xVal>
            <c:numRef>
              <c:f>Ammonium!$E$57:$E$58</c:f>
              <c:numCache>
                <c:formatCode>m/d/yyyy</c:formatCode>
                <c:ptCount val="2"/>
                <c:pt idx="0">
                  <c:v>1</c:v>
                </c:pt>
                <c:pt idx="1">
                  <c:v>73415</c:v>
                </c:pt>
              </c:numCache>
            </c:numRef>
          </c:xVal>
          <c:yVal>
            <c:numRef>
              <c:f>Ammonium!$F$57:$F$58</c:f>
              <c:numCache>
                <c:formatCode>0.000</c:formatCode>
                <c:ptCount val="2"/>
                <c:pt idx="0">
                  <c:v>0</c:v>
                </c:pt>
                <c:pt idx="1">
                  <c:v>0</c:v>
                </c:pt>
              </c:numCache>
            </c:numRef>
          </c:yVal>
          <c:smooth val="0"/>
          <c:extLst>
            <c:ext xmlns:c16="http://schemas.microsoft.com/office/drawing/2014/chart" uri="{C3380CC4-5D6E-409C-BE32-E72D297353CC}">
              <c16:uniqueId val="{00000001-EE35-4766-92C8-26995B2B4DA5}"/>
            </c:ext>
          </c:extLst>
        </c:ser>
        <c:ser>
          <c:idx val="4"/>
          <c:order val="2"/>
          <c:tx>
            <c:v>Q95Log</c:v>
          </c:tx>
          <c:spPr>
            <a:ln w="12700">
              <a:solidFill>
                <a:srgbClr val="FF00FF"/>
              </a:solidFill>
              <a:prstDash val="sysDash"/>
            </a:ln>
          </c:spPr>
          <c:marker>
            <c:symbol val="none"/>
          </c:marker>
          <c:xVal>
            <c:numRef>
              <c:f>Ammonium!$E$57:$E$58</c:f>
              <c:numCache>
                <c:formatCode>m/d/yyyy</c:formatCode>
                <c:ptCount val="2"/>
                <c:pt idx="0">
                  <c:v>1</c:v>
                </c:pt>
                <c:pt idx="1">
                  <c:v>73415</c:v>
                </c:pt>
              </c:numCache>
            </c:numRef>
          </c:xVal>
          <c:yVal>
            <c:numRef>
              <c:f>Ammonium!$J$57:$J$58</c:f>
              <c:numCache>
                <c:formatCode>0.000</c:formatCode>
                <c:ptCount val="2"/>
                <c:pt idx="0">
                  <c:v>0</c:v>
                </c:pt>
                <c:pt idx="1">
                  <c:v>0</c:v>
                </c:pt>
              </c:numCache>
            </c:numRef>
          </c:yVal>
          <c:smooth val="0"/>
          <c:extLst>
            <c:ext xmlns:c16="http://schemas.microsoft.com/office/drawing/2014/chart" uri="{C3380CC4-5D6E-409C-BE32-E72D297353CC}">
              <c16:uniqueId val="{00000002-EE35-4766-92C8-26995B2B4DA5}"/>
            </c:ext>
          </c:extLst>
        </c:ser>
        <c:ser>
          <c:idx val="9"/>
          <c:order val="3"/>
          <c:tx>
            <c:v>vT</c:v>
          </c:tx>
          <c:spPr>
            <a:ln w="12700">
              <a:solidFill>
                <a:srgbClr val="808080"/>
              </a:solidFill>
              <a:prstDash val="sysDash"/>
            </a:ln>
          </c:spPr>
          <c:marker>
            <c:symbol val="none"/>
          </c:marker>
          <c:xVal>
            <c:numRef>
              <c:f>Ammonium!$G$122:$G$123</c:f>
              <c:numCache>
                <c:formatCode>d/m/yyyy;@</c:formatCode>
                <c:ptCount val="2"/>
                <c:pt idx="0">
                  <c:v>0</c:v>
                </c:pt>
                <c:pt idx="1">
                  <c:v>0</c:v>
                </c:pt>
              </c:numCache>
            </c:numRef>
          </c:xVal>
          <c:yVal>
            <c:numRef>
              <c:f>Ammonium!$I$122:$I$123</c:f>
              <c:numCache>
                <c:formatCode>General</c:formatCode>
                <c:ptCount val="2"/>
                <c:pt idx="0">
                  <c:v>0</c:v>
                </c:pt>
                <c:pt idx="1">
                  <c:v>0</c:v>
                </c:pt>
              </c:numCache>
            </c:numRef>
          </c:yVal>
          <c:smooth val="0"/>
          <c:extLst>
            <c:ext xmlns:c16="http://schemas.microsoft.com/office/drawing/2014/chart" uri="{C3380CC4-5D6E-409C-BE32-E72D297353CC}">
              <c16:uniqueId val="{00000003-EE35-4766-92C8-26995B2B4DA5}"/>
            </c:ext>
          </c:extLst>
        </c:ser>
        <c:ser>
          <c:idx val="10"/>
          <c:order val="4"/>
          <c:tx>
            <c:v>Trend</c:v>
          </c:tx>
          <c:spPr>
            <a:ln w="12700">
              <a:solidFill>
                <a:srgbClr val="808080"/>
              </a:solidFill>
              <a:prstDash val="solid"/>
            </a:ln>
          </c:spPr>
          <c:marker>
            <c:symbol val="none"/>
          </c:marker>
          <c:xVal>
            <c:numRef>
              <c:f>Ammonium!$G$122:$G$123</c:f>
              <c:numCache>
                <c:formatCode>d/m/yyyy;@</c:formatCode>
                <c:ptCount val="2"/>
                <c:pt idx="0">
                  <c:v>0</c:v>
                </c:pt>
                <c:pt idx="1">
                  <c:v>0</c:v>
                </c:pt>
              </c:numCache>
            </c:numRef>
          </c:xVal>
          <c:yVal>
            <c:numRef>
              <c:f>Ammonium!$J$122:$J$123</c:f>
              <c:numCache>
                <c:formatCode>General</c:formatCode>
                <c:ptCount val="2"/>
                <c:pt idx="0">
                  <c:v>0</c:v>
                </c:pt>
                <c:pt idx="1">
                  <c:v>0</c:v>
                </c:pt>
              </c:numCache>
            </c:numRef>
          </c:yVal>
          <c:smooth val="0"/>
          <c:extLst>
            <c:ext xmlns:c16="http://schemas.microsoft.com/office/drawing/2014/chart" uri="{C3380CC4-5D6E-409C-BE32-E72D297353CC}">
              <c16:uniqueId val="{00000004-EE35-4766-92C8-26995B2B4DA5}"/>
            </c:ext>
          </c:extLst>
        </c:ser>
        <c:ser>
          <c:idx val="2"/>
          <c:order val="5"/>
          <c:tx>
            <c:v>Q95u</c:v>
          </c:tx>
          <c:spPr>
            <a:ln w="12700">
              <a:solidFill>
                <a:srgbClr val="0000FF"/>
              </a:solidFill>
              <a:prstDash val="sysDash"/>
            </a:ln>
          </c:spPr>
          <c:marker>
            <c:symbol val="none"/>
          </c:marker>
          <c:xVal>
            <c:numRef>
              <c:f>Ammonium!$E$57:$E$58</c:f>
              <c:numCache>
                <c:formatCode>m/d/yyyy</c:formatCode>
                <c:ptCount val="2"/>
                <c:pt idx="0">
                  <c:v>1</c:v>
                </c:pt>
                <c:pt idx="1">
                  <c:v>73415</c:v>
                </c:pt>
              </c:numCache>
            </c:numRef>
          </c:xVal>
          <c:yVal>
            <c:numRef>
              <c:f>Ammonium!$G$57:$G$58</c:f>
              <c:numCache>
                <c:formatCode>0.000</c:formatCode>
                <c:ptCount val="2"/>
                <c:pt idx="0">
                  <c:v>0</c:v>
                </c:pt>
                <c:pt idx="1">
                  <c:v>0</c:v>
                </c:pt>
              </c:numCache>
            </c:numRef>
          </c:yVal>
          <c:smooth val="0"/>
          <c:extLst>
            <c:ext xmlns:c16="http://schemas.microsoft.com/office/drawing/2014/chart" uri="{C3380CC4-5D6E-409C-BE32-E72D297353CC}">
              <c16:uniqueId val="{00000005-EE35-4766-92C8-26995B2B4DA5}"/>
            </c:ext>
          </c:extLst>
        </c:ser>
        <c:ser>
          <c:idx val="3"/>
          <c:order val="6"/>
          <c:tx>
            <c:v>Q98</c:v>
          </c:tx>
          <c:spPr>
            <a:ln w="12700">
              <a:solidFill>
                <a:srgbClr val="0000FF"/>
              </a:solidFill>
              <a:prstDash val="solid"/>
            </a:ln>
          </c:spPr>
          <c:marker>
            <c:symbol val="none"/>
          </c:marker>
          <c:xVal>
            <c:numRef>
              <c:f>Ammonium!$E$57:$E$58</c:f>
              <c:numCache>
                <c:formatCode>m/d/yyyy</c:formatCode>
                <c:ptCount val="2"/>
                <c:pt idx="0">
                  <c:v>1</c:v>
                </c:pt>
                <c:pt idx="1">
                  <c:v>73415</c:v>
                </c:pt>
              </c:numCache>
            </c:numRef>
          </c:xVal>
          <c:yVal>
            <c:numRef>
              <c:f>Ammonium!$H$57:$H$58</c:f>
              <c:numCache>
                <c:formatCode>0.000</c:formatCode>
                <c:ptCount val="2"/>
                <c:pt idx="0">
                  <c:v>0</c:v>
                </c:pt>
                <c:pt idx="1">
                  <c:v>0</c:v>
                </c:pt>
              </c:numCache>
            </c:numRef>
          </c:yVal>
          <c:smooth val="0"/>
          <c:extLst>
            <c:ext xmlns:c16="http://schemas.microsoft.com/office/drawing/2014/chart" uri="{C3380CC4-5D6E-409C-BE32-E72D297353CC}">
              <c16:uniqueId val="{00000006-EE35-4766-92C8-26995B2B4DA5}"/>
            </c:ext>
          </c:extLst>
        </c:ser>
        <c:ser>
          <c:idx val="6"/>
          <c:order val="7"/>
          <c:tx>
            <c:v>Q98Log</c:v>
          </c:tx>
          <c:spPr>
            <a:ln w="12700">
              <a:solidFill>
                <a:srgbClr val="CC00FF"/>
              </a:solidFill>
            </a:ln>
          </c:spPr>
          <c:marker>
            <c:symbol val="none"/>
          </c:marker>
          <c:xVal>
            <c:numRef>
              <c:f>Ammonium!$E$57:$E$58</c:f>
              <c:numCache>
                <c:formatCode>m/d/yyyy</c:formatCode>
                <c:ptCount val="2"/>
                <c:pt idx="0">
                  <c:v>1</c:v>
                </c:pt>
                <c:pt idx="1">
                  <c:v>73415</c:v>
                </c:pt>
              </c:numCache>
            </c:numRef>
          </c:xVal>
          <c:yVal>
            <c:numRef>
              <c:f>Ammonium!$K$57:$K$58</c:f>
              <c:numCache>
                <c:formatCode>0.000</c:formatCode>
                <c:ptCount val="2"/>
                <c:pt idx="0">
                  <c:v>0</c:v>
                </c:pt>
                <c:pt idx="1">
                  <c:v>0</c:v>
                </c:pt>
              </c:numCache>
            </c:numRef>
          </c:yVal>
          <c:smooth val="0"/>
          <c:extLst>
            <c:ext xmlns:c16="http://schemas.microsoft.com/office/drawing/2014/chart" uri="{C3380CC4-5D6E-409C-BE32-E72D297353CC}">
              <c16:uniqueId val="{00000007-EE35-4766-92C8-26995B2B4DA5}"/>
            </c:ext>
          </c:extLst>
        </c:ser>
        <c:dLbls>
          <c:showLegendKey val="0"/>
          <c:showVal val="0"/>
          <c:showCatName val="0"/>
          <c:showSerName val="0"/>
          <c:showPercent val="0"/>
          <c:showBubbleSize val="0"/>
        </c:dLbls>
        <c:axId val="152713472"/>
        <c:axId val="152727552"/>
      </c:scatterChart>
      <c:valAx>
        <c:axId val="152713472"/>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2727552"/>
        <c:crossesAt val="0"/>
        <c:crossBetween val="midCat"/>
        <c:majorUnit val="1461"/>
        <c:minorUnit val="365.25"/>
      </c:valAx>
      <c:valAx>
        <c:axId val="152727552"/>
        <c:scaling>
          <c:orientation val="minMax"/>
          <c:max val="0.15000000000000002"/>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2713472"/>
        <c:crossesAt val="0"/>
        <c:crossBetween val="midCat"/>
        <c:majorUnit val="5.000000000000001E-2"/>
        <c:minorUnit val="1.0000000000000002E-2"/>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Sulfat!$F$63:$F$113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Sulfat!$G$63:$G$113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403E-4C7C-9CD0-81E442050F77}"/>
            </c:ext>
          </c:extLst>
        </c:ser>
        <c:ser>
          <c:idx val="1"/>
          <c:order val="1"/>
          <c:tx>
            <c:v>LogNormalverteilung</c:v>
          </c:tx>
          <c:spPr>
            <a:ln w="25400">
              <a:solidFill>
                <a:srgbClr val="FF00FF"/>
              </a:solidFill>
              <a:prstDash val="solid"/>
            </a:ln>
          </c:spPr>
          <c:marker>
            <c:symbol val="none"/>
          </c:marker>
          <c:xVal>
            <c:numRef>
              <c:f>Sulfat!$I$63:$I$113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Sulfat!$J$63:$J$113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403E-4C7C-9CD0-81E442050F77}"/>
            </c:ext>
          </c:extLst>
        </c:ser>
        <c:ser>
          <c:idx val="2"/>
          <c:order val="2"/>
          <c:tx>
            <c:v>Histogramm</c:v>
          </c:tx>
          <c:spPr>
            <a:ln w="25400">
              <a:solidFill>
                <a:srgbClr val="969696"/>
              </a:solidFill>
              <a:prstDash val="lgDashDot"/>
            </a:ln>
          </c:spPr>
          <c:marker>
            <c:symbol val="none"/>
          </c:marker>
          <c:xVal>
            <c:numRef>
              <c:f>Sulfat!$T$46:$T$97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Sulfat!$U$46:$U$97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403E-4C7C-9CD0-81E442050F77}"/>
            </c:ext>
          </c:extLst>
        </c:ser>
        <c:ser>
          <c:idx val="3"/>
          <c:order val="3"/>
          <c:tx>
            <c:v>Q95 No</c:v>
          </c:tx>
          <c:spPr>
            <a:ln w="12700">
              <a:solidFill>
                <a:srgbClr val="0000FF"/>
              </a:solidFill>
              <a:prstDash val="sysDash"/>
            </a:ln>
          </c:spPr>
          <c:marker>
            <c:symbol val="none"/>
          </c:marker>
          <c:xVal>
            <c:numRef>
              <c:f>Sulfat!$U$3:$V$3</c:f>
              <c:numCache>
                <c:formatCode>0.000</c:formatCode>
                <c:ptCount val="2"/>
                <c:pt idx="0">
                  <c:v>0</c:v>
                </c:pt>
                <c:pt idx="1">
                  <c:v>0</c:v>
                </c:pt>
              </c:numCache>
            </c:numRef>
          </c:xVal>
          <c:yVal>
            <c:numRef>
              <c:f>Sulfat!$U$2:$V$2</c:f>
              <c:numCache>
                <c:formatCode>General</c:formatCode>
                <c:ptCount val="2"/>
                <c:pt idx="0">
                  <c:v>0</c:v>
                </c:pt>
                <c:pt idx="1">
                  <c:v>1000</c:v>
                </c:pt>
              </c:numCache>
            </c:numRef>
          </c:yVal>
          <c:smooth val="0"/>
          <c:extLst>
            <c:ext xmlns:c16="http://schemas.microsoft.com/office/drawing/2014/chart" uri="{C3380CC4-5D6E-409C-BE32-E72D297353CC}">
              <c16:uniqueId val="{00000003-403E-4C7C-9CD0-81E442050F77}"/>
            </c:ext>
          </c:extLst>
        </c:ser>
        <c:ser>
          <c:idx val="4"/>
          <c:order val="4"/>
          <c:tx>
            <c:v>Q95 Lo</c:v>
          </c:tx>
          <c:spPr>
            <a:ln w="12700">
              <a:solidFill>
                <a:srgbClr val="FF00FF"/>
              </a:solidFill>
              <a:prstDash val="sysDash"/>
            </a:ln>
          </c:spPr>
          <c:marker>
            <c:symbol val="none"/>
          </c:marker>
          <c:xVal>
            <c:numRef>
              <c:f>Sulfat!$U$4:$V$4</c:f>
              <c:numCache>
                <c:formatCode>0.000</c:formatCode>
                <c:ptCount val="2"/>
                <c:pt idx="0">
                  <c:v>0</c:v>
                </c:pt>
                <c:pt idx="1">
                  <c:v>0</c:v>
                </c:pt>
              </c:numCache>
            </c:numRef>
          </c:xVal>
          <c:yVal>
            <c:numRef>
              <c:f>Sulfat!$U$2:$V$2</c:f>
              <c:numCache>
                <c:formatCode>General</c:formatCode>
                <c:ptCount val="2"/>
                <c:pt idx="0">
                  <c:v>0</c:v>
                </c:pt>
                <c:pt idx="1">
                  <c:v>1000</c:v>
                </c:pt>
              </c:numCache>
            </c:numRef>
          </c:yVal>
          <c:smooth val="0"/>
          <c:extLst>
            <c:ext xmlns:c16="http://schemas.microsoft.com/office/drawing/2014/chart" uri="{C3380CC4-5D6E-409C-BE32-E72D297353CC}">
              <c16:uniqueId val="{00000004-403E-4C7C-9CD0-81E442050F77}"/>
            </c:ext>
          </c:extLst>
        </c:ser>
        <c:ser>
          <c:idx val="5"/>
          <c:order val="5"/>
          <c:tx>
            <c:v>Q98 No</c:v>
          </c:tx>
          <c:spPr>
            <a:ln w="12700">
              <a:solidFill>
                <a:srgbClr val="0000FF"/>
              </a:solidFill>
              <a:prstDash val="solid"/>
            </a:ln>
          </c:spPr>
          <c:marker>
            <c:symbol val="none"/>
          </c:marker>
          <c:xVal>
            <c:numRef>
              <c:f>Sulfat!$U$5:$V$5</c:f>
              <c:numCache>
                <c:formatCode>0.000</c:formatCode>
                <c:ptCount val="2"/>
                <c:pt idx="0">
                  <c:v>0</c:v>
                </c:pt>
                <c:pt idx="1">
                  <c:v>0</c:v>
                </c:pt>
              </c:numCache>
            </c:numRef>
          </c:xVal>
          <c:yVal>
            <c:numRef>
              <c:f>Sulfat!$U$2:$V$2</c:f>
              <c:numCache>
                <c:formatCode>General</c:formatCode>
                <c:ptCount val="2"/>
                <c:pt idx="0">
                  <c:v>0</c:v>
                </c:pt>
                <c:pt idx="1">
                  <c:v>1000</c:v>
                </c:pt>
              </c:numCache>
            </c:numRef>
          </c:yVal>
          <c:smooth val="0"/>
          <c:extLst>
            <c:ext xmlns:c16="http://schemas.microsoft.com/office/drawing/2014/chart" uri="{C3380CC4-5D6E-409C-BE32-E72D297353CC}">
              <c16:uniqueId val="{00000005-403E-4C7C-9CD0-81E442050F77}"/>
            </c:ext>
          </c:extLst>
        </c:ser>
        <c:ser>
          <c:idx val="6"/>
          <c:order val="6"/>
          <c:tx>
            <c:v>Q98 Lo</c:v>
          </c:tx>
          <c:spPr>
            <a:ln w="12700">
              <a:solidFill>
                <a:srgbClr val="FF00FF"/>
              </a:solidFill>
              <a:prstDash val="solid"/>
            </a:ln>
          </c:spPr>
          <c:marker>
            <c:symbol val="none"/>
          </c:marker>
          <c:xVal>
            <c:numRef>
              <c:f>Sulfat!$U$6:$V$6</c:f>
              <c:numCache>
                <c:formatCode>0.000</c:formatCode>
                <c:ptCount val="2"/>
                <c:pt idx="0">
                  <c:v>0</c:v>
                </c:pt>
                <c:pt idx="1">
                  <c:v>0</c:v>
                </c:pt>
              </c:numCache>
            </c:numRef>
          </c:xVal>
          <c:yVal>
            <c:numRef>
              <c:f>Sulfat!$U$2:$V$2</c:f>
              <c:numCache>
                <c:formatCode>General</c:formatCode>
                <c:ptCount val="2"/>
                <c:pt idx="0">
                  <c:v>0</c:v>
                </c:pt>
                <c:pt idx="1">
                  <c:v>1000</c:v>
                </c:pt>
              </c:numCache>
            </c:numRef>
          </c:yVal>
          <c:smooth val="0"/>
          <c:extLst>
            <c:ext xmlns:c16="http://schemas.microsoft.com/office/drawing/2014/chart" uri="{C3380CC4-5D6E-409C-BE32-E72D297353CC}">
              <c16:uniqueId val="{00000006-403E-4C7C-9CD0-81E442050F77}"/>
            </c:ext>
          </c:extLst>
        </c:ser>
        <c:ser>
          <c:idx val="7"/>
          <c:order val="7"/>
          <c:tx>
            <c:v>Q95u</c:v>
          </c:tx>
          <c:spPr>
            <a:ln w="12700">
              <a:solidFill>
                <a:srgbClr val="0000FF"/>
              </a:solidFill>
              <a:prstDash val="sysDash"/>
            </a:ln>
          </c:spPr>
          <c:marker>
            <c:symbol val="none"/>
          </c:marker>
          <c:xVal>
            <c:numRef>
              <c:f>Sulfat!$U$7:$V$7</c:f>
              <c:numCache>
                <c:formatCode>0.000</c:formatCode>
                <c:ptCount val="2"/>
                <c:pt idx="0">
                  <c:v>0</c:v>
                </c:pt>
                <c:pt idx="1">
                  <c:v>0</c:v>
                </c:pt>
              </c:numCache>
            </c:numRef>
          </c:xVal>
          <c:yVal>
            <c:numRef>
              <c:f>Sulfat!$U$2:$V$2</c:f>
              <c:numCache>
                <c:formatCode>General</c:formatCode>
                <c:ptCount val="2"/>
                <c:pt idx="0">
                  <c:v>0</c:v>
                </c:pt>
                <c:pt idx="1">
                  <c:v>1000</c:v>
                </c:pt>
              </c:numCache>
            </c:numRef>
          </c:yVal>
          <c:smooth val="0"/>
          <c:extLst>
            <c:ext xmlns:c16="http://schemas.microsoft.com/office/drawing/2014/chart" uri="{C3380CC4-5D6E-409C-BE32-E72D297353CC}">
              <c16:uniqueId val="{00000007-403E-4C7C-9CD0-81E442050F77}"/>
            </c:ext>
          </c:extLst>
        </c:ser>
        <c:ser>
          <c:idx val="8"/>
          <c:order val="8"/>
          <c:tx>
            <c:v>Q95u Lo</c:v>
          </c:tx>
          <c:spPr>
            <a:ln w="12700">
              <a:solidFill>
                <a:srgbClr val="FF00FF"/>
              </a:solidFill>
              <a:prstDash val="sysDash"/>
            </a:ln>
          </c:spPr>
          <c:marker>
            <c:symbol val="none"/>
          </c:marker>
          <c:xVal>
            <c:numRef>
              <c:f>Sulfat!$U$8:$V$8</c:f>
              <c:numCache>
                <c:formatCode>0.000</c:formatCode>
                <c:ptCount val="2"/>
                <c:pt idx="0">
                  <c:v>0</c:v>
                </c:pt>
                <c:pt idx="1">
                  <c:v>0</c:v>
                </c:pt>
              </c:numCache>
            </c:numRef>
          </c:xVal>
          <c:yVal>
            <c:numRef>
              <c:f>Sulfat!$U$2:$V$2</c:f>
              <c:numCache>
                <c:formatCode>General</c:formatCode>
                <c:ptCount val="2"/>
                <c:pt idx="0">
                  <c:v>0</c:v>
                </c:pt>
                <c:pt idx="1">
                  <c:v>1000</c:v>
                </c:pt>
              </c:numCache>
            </c:numRef>
          </c:yVal>
          <c:smooth val="0"/>
          <c:extLst>
            <c:ext xmlns:c16="http://schemas.microsoft.com/office/drawing/2014/chart" uri="{C3380CC4-5D6E-409C-BE32-E72D297353CC}">
              <c16:uniqueId val="{00000008-403E-4C7C-9CD0-81E442050F77}"/>
            </c:ext>
          </c:extLst>
        </c:ser>
        <c:ser>
          <c:idx val="9"/>
          <c:order val="9"/>
          <c:tx>
            <c:v>Median</c:v>
          </c:tx>
          <c:spPr>
            <a:ln w="12700">
              <a:solidFill>
                <a:srgbClr val="969696"/>
              </a:solidFill>
              <a:prstDash val="lgDashDotDot"/>
            </a:ln>
          </c:spPr>
          <c:marker>
            <c:symbol val="none"/>
          </c:marker>
          <c:xVal>
            <c:numRef>
              <c:f>Sulfat!$U$11:$V$11</c:f>
              <c:numCache>
                <c:formatCode>0.000</c:formatCode>
                <c:ptCount val="2"/>
                <c:pt idx="0">
                  <c:v>0</c:v>
                </c:pt>
                <c:pt idx="1">
                  <c:v>0</c:v>
                </c:pt>
              </c:numCache>
            </c:numRef>
          </c:xVal>
          <c:yVal>
            <c:numRef>
              <c:f>Sulfat!$U$2:$V$2</c:f>
              <c:numCache>
                <c:formatCode>General</c:formatCode>
                <c:ptCount val="2"/>
                <c:pt idx="0">
                  <c:v>0</c:v>
                </c:pt>
                <c:pt idx="1">
                  <c:v>1000</c:v>
                </c:pt>
              </c:numCache>
            </c:numRef>
          </c:yVal>
          <c:smooth val="0"/>
          <c:extLst>
            <c:ext xmlns:c16="http://schemas.microsoft.com/office/drawing/2014/chart" uri="{C3380CC4-5D6E-409C-BE32-E72D297353CC}">
              <c16:uniqueId val="{00000009-403E-4C7C-9CD0-81E442050F77}"/>
            </c:ext>
          </c:extLst>
        </c:ser>
        <c:dLbls>
          <c:showLegendKey val="0"/>
          <c:showVal val="0"/>
          <c:showCatName val="0"/>
          <c:showSerName val="0"/>
          <c:showPercent val="0"/>
          <c:showBubbleSize val="0"/>
        </c:dLbls>
        <c:axId val="152782336"/>
        <c:axId val="152783872"/>
      </c:scatterChart>
      <c:valAx>
        <c:axId val="152782336"/>
        <c:scaling>
          <c:orientation val="minMax"/>
          <c:max val="5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2783872"/>
        <c:crosses val="autoZero"/>
        <c:crossBetween val="midCat"/>
        <c:majorUnit val="100"/>
        <c:minorUnit val="50"/>
      </c:valAx>
      <c:valAx>
        <c:axId val="152783872"/>
        <c:scaling>
          <c:orientation val="minMax"/>
          <c:max val="1.0000000000000002E-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2782336"/>
        <c:crosses val="autoZero"/>
        <c:crossBetween val="midCat"/>
        <c:majorUnit val="5.000000000000001E-2"/>
        <c:minorUnit val="1.0000000000000002E-3"/>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Sulfat!$M$3:$M$252</c:f>
              <c:numCache>
                <c:formatCode>d/m/yyyy;@</c:formatCode>
                <c:ptCount val="250"/>
              </c:numCache>
            </c:numRef>
          </c:xVal>
          <c:yVal>
            <c:numRef>
              <c:f>Sulfat!$N$3:$N$252</c:f>
              <c:numCache>
                <c:formatCode>General</c:formatCode>
                <c:ptCount val="250"/>
              </c:numCache>
            </c:numRef>
          </c:yVal>
          <c:smooth val="0"/>
          <c:extLst>
            <c:ext xmlns:c16="http://schemas.microsoft.com/office/drawing/2014/chart" uri="{C3380CC4-5D6E-409C-BE32-E72D297353CC}">
              <c16:uniqueId val="{00000000-3190-4B68-A055-63C7B8DC89D2}"/>
            </c:ext>
          </c:extLst>
        </c:ser>
        <c:ser>
          <c:idx val="1"/>
          <c:order val="1"/>
          <c:tx>
            <c:v>Q95</c:v>
          </c:tx>
          <c:spPr>
            <a:ln w="12700">
              <a:solidFill>
                <a:srgbClr val="0000FF"/>
              </a:solidFill>
              <a:prstDash val="sysDash"/>
            </a:ln>
          </c:spPr>
          <c:marker>
            <c:symbol val="none"/>
          </c:marker>
          <c:xVal>
            <c:numRef>
              <c:f>Sulfat!$E$57:$E$58</c:f>
              <c:numCache>
                <c:formatCode>m/d/yyyy</c:formatCode>
                <c:ptCount val="2"/>
                <c:pt idx="0">
                  <c:v>1</c:v>
                </c:pt>
                <c:pt idx="1">
                  <c:v>51501</c:v>
                </c:pt>
              </c:numCache>
            </c:numRef>
          </c:xVal>
          <c:yVal>
            <c:numRef>
              <c:f>Sulfat!$F$57:$F$58</c:f>
              <c:numCache>
                <c:formatCode>0.000</c:formatCode>
                <c:ptCount val="2"/>
                <c:pt idx="0">
                  <c:v>0</c:v>
                </c:pt>
                <c:pt idx="1">
                  <c:v>0</c:v>
                </c:pt>
              </c:numCache>
            </c:numRef>
          </c:yVal>
          <c:smooth val="0"/>
          <c:extLst>
            <c:ext xmlns:c16="http://schemas.microsoft.com/office/drawing/2014/chart" uri="{C3380CC4-5D6E-409C-BE32-E72D297353CC}">
              <c16:uniqueId val="{00000001-3190-4B68-A055-63C7B8DC89D2}"/>
            </c:ext>
          </c:extLst>
        </c:ser>
        <c:ser>
          <c:idx val="4"/>
          <c:order val="2"/>
          <c:tx>
            <c:v>Q95Log</c:v>
          </c:tx>
          <c:spPr>
            <a:ln w="12700">
              <a:solidFill>
                <a:srgbClr val="FF00FF"/>
              </a:solidFill>
              <a:prstDash val="sysDash"/>
            </a:ln>
          </c:spPr>
          <c:marker>
            <c:symbol val="none"/>
          </c:marker>
          <c:xVal>
            <c:numRef>
              <c:f>Sulfat!$E$57:$E$58</c:f>
              <c:numCache>
                <c:formatCode>m/d/yyyy</c:formatCode>
                <c:ptCount val="2"/>
                <c:pt idx="0">
                  <c:v>1</c:v>
                </c:pt>
                <c:pt idx="1">
                  <c:v>51501</c:v>
                </c:pt>
              </c:numCache>
            </c:numRef>
          </c:xVal>
          <c:yVal>
            <c:numRef>
              <c:f>Sulfat!$J$57:$J$58</c:f>
              <c:numCache>
                <c:formatCode>0.000</c:formatCode>
                <c:ptCount val="2"/>
                <c:pt idx="0">
                  <c:v>0</c:v>
                </c:pt>
                <c:pt idx="1">
                  <c:v>0</c:v>
                </c:pt>
              </c:numCache>
            </c:numRef>
          </c:yVal>
          <c:smooth val="0"/>
          <c:extLst>
            <c:ext xmlns:c16="http://schemas.microsoft.com/office/drawing/2014/chart" uri="{C3380CC4-5D6E-409C-BE32-E72D297353CC}">
              <c16:uniqueId val="{00000002-3190-4B68-A055-63C7B8DC89D2}"/>
            </c:ext>
          </c:extLst>
        </c:ser>
        <c:ser>
          <c:idx val="9"/>
          <c:order val="3"/>
          <c:tx>
            <c:v>vT</c:v>
          </c:tx>
          <c:spPr>
            <a:ln w="12700">
              <a:solidFill>
                <a:srgbClr val="808080"/>
              </a:solidFill>
              <a:prstDash val="sysDash"/>
            </a:ln>
          </c:spPr>
          <c:marker>
            <c:symbol val="none"/>
          </c:marker>
          <c:xVal>
            <c:numRef>
              <c:f>Sulfat!$G$122:$G$123</c:f>
              <c:numCache>
                <c:formatCode>d/m/yyyy;@</c:formatCode>
                <c:ptCount val="2"/>
                <c:pt idx="0">
                  <c:v>0</c:v>
                </c:pt>
                <c:pt idx="1">
                  <c:v>0</c:v>
                </c:pt>
              </c:numCache>
            </c:numRef>
          </c:xVal>
          <c:yVal>
            <c:numRef>
              <c:f>Sulfat!$I$122:$I$123</c:f>
              <c:numCache>
                <c:formatCode>General</c:formatCode>
                <c:ptCount val="2"/>
                <c:pt idx="0">
                  <c:v>0</c:v>
                </c:pt>
                <c:pt idx="1">
                  <c:v>0</c:v>
                </c:pt>
              </c:numCache>
            </c:numRef>
          </c:yVal>
          <c:smooth val="0"/>
          <c:extLst>
            <c:ext xmlns:c16="http://schemas.microsoft.com/office/drawing/2014/chart" uri="{C3380CC4-5D6E-409C-BE32-E72D297353CC}">
              <c16:uniqueId val="{00000003-3190-4B68-A055-63C7B8DC89D2}"/>
            </c:ext>
          </c:extLst>
        </c:ser>
        <c:ser>
          <c:idx val="10"/>
          <c:order val="4"/>
          <c:tx>
            <c:v>Trend</c:v>
          </c:tx>
          <c:spPr>
            <a:ln w="12700">
              <a:solidFill>
                <a:srgbClr val="808080"/>
              </a:solidFill>
              <a:prstDash val="solid"/>
            </a:ln>
          </c:spPr>
          <c:marker>
            <c:symbol val="none"/>
          </c:marker>
          <c:xVal>
            <c:numRef>
              <c:f>Sulfat!$G$122:$G$123</c:f>
              <c:numCache>
                <c:formatCode>d/m/yyyy;@</c:formatCode>
                <c:ptCount val="2"/>
                <c:pt idx="0">
                  <c:v>0</c:v>
                </c:pt>
                <c:pt idx="1">
                  <c:v>0</c:v>
                </c:pt>
              </c:numCache>
            </c:numRef>
          </c:xVal>
          <c:yVal>
            <c:numRef>
              <c:f>Sulfat!$J$122:$J$123</c:f>
              <c:numCache>
                <c:formatCode>General</c:formatCode>
                <c:ptCount val="2"/>
                <c:pt idx="0">
                  <c:v>0</c:v>
                </c:pt>
                <c:pt idx="1">
                  <c:v>0</c:v>
                </c:pt>
              </c:numCache>
            </c:numRef>
          </c:yVal>
          <c:smooth val="0"/>
          <c:extLst>
            <c:ext xmlns:c16="http://schemas.microsoft.com/office/drawing/2014/chart" uri="{C3380CC4-5D6E-409C-BE32-E72D297353CC}">
              <c16:uniqueId val="{00000004-3190-4B68-A055-63C7B8DC89D2}"/>
            </c:ext>
          </c:extLst>
        </c:ser>
        <c:ser>
          <c:idx val="2"/>
          <c:order val="5"/>
          <c:tx>
            <c:v>Q95u</c:v>
          </c:tx>
          <c:spPr>
            <a:ln w="12700">
              <a:solidFill>
                <a:srgbClr val="0000FF"/>
              </a:solidFill>
              <a:prstDash val="sysDash"/>
            </a:ln>
          </c:spPr>
          <c:marker>
            <c:symbol val="none"/>
          </c:marker>
          <c:xVal>
            <c:numRef>
              <c:f>Sulfat!$E$57:$E$58</c:f>
              <c:numCache>
                <c:formatCode>m/d/yyyy</c:formatCode>
                <c:ptCount val="2"/>
                <c:pt idx="0">
                  <c:v>1</c:v>
                </c:pt>
                <c:pt idx="1">
                  <c:v>51501</c:v>
                </c:pt>
              </c:numCache>
            </c:numRef>
          </c:xVal>
          <c:yVal>
            <c:numRef>
              <c:f>Sulfat!$G$57:$G$58</c:f>
              <c:numCache>
                <c:formatCode>0.000</c:formatCode>
                <c:ptCount val="2"/>
                <c:pt idx="0">
                  <c:v>0</c:v>
                </c:pt>
                <c:pt idx="1">
                  <c:v>0</c:v>
                </c:pt>
              </c:numCache>
            </c:numRef>
          </c:yVal>
          <c:smooth val="0"/>
          <c:extLst>
            <c:ext xmlns:c16="http://schemas.microsoft.com/office/drawing/2014/chart" uri="{C3380CC4-5D6E-409C-BE32-E72D297353CC}">
              <c16:uniqueId val="{00000005-3190-4B68-A055-63C7B8DC89D2}"/>
            </c:ext>
          </c:extLst>
        </c:ser>
        <c:ser>
          <c:idx val="3"/>
          <c:order val="6"/>
          <c:tx>
            <c:v>Q98</c:v>
          </c:tx>
          <c:spPr>
            <a:ln w="12700">
              <a:solidFill>
                <a:srgbClr val="0000FF"/>
              </a:solidFill>
              <a:prstDash val="solid"/>
            </a:ln>
          </c:spPr>
          <c:marker>
            <c:symbol val="none"/>
          </c:marker>
          <c:xVal>
            <c:numRef>
              <c:f>Sulfat!$E$57:$E$58</c:f>
              <c:numCache>
                <c:formatCode>m/d/yyyy</c:formatCode>
                <c:ptCount val="2"/>
                <c:pt idx="0">
                  <c:v>1</c:v>
                </c:pt>
                <c:pt idx="1">
                  <c:v>51501</c:v>
                </c:pt>
              </c:numCache>
            </c:numRef>
          </c:xVal>
          <c:yVal>
            <c:numRef>
              <c:f>Sulfat!$H$57:$H$58</c:f>
              <c:numCache>
                <c:formatCode>0.000</c:formatCode>
                <c:ptCount val="2"/>
                <c:pt idx="0">
                  <c:v>0</c:v>
                </c:pt>
                <c:pt idx="1">
                  <c:v>0</c:v>
                </c:pt>
              </c:numCache>
            </c:numRef>
          </c:yVal>
          <c:smooth val="0"/>
          <c:extLst>
            <c:ext xmlns:c16="http://schemas.microsoft.com/office/drawing/2014/chart" uri="{C3380CC4-5D6E-409C-BE32-E72D297353CC}">
              <c16:uniqueId val="{00000006-3190-4B68-A055-63C7B8DC89D2}"/>
            </c:ext>
          </c:extLst>
        </c:ser>
        <c:ser>
          <c:idx val="6"/>
          <c:order val="7"/>
          <c:tx>
            <c:v>Q98Log</c:v>
          </c:tx>
          <c:spPr>
            <a:ln w="12700">
              <a:solidFill>
                <a:srgbClr val="CC00FF"/>
              </a:solidFill>
            </a:ln>
          </c:spPr>
          <c:marker>
            <c:symbol val="none"/>
          </c:marker>
          <c:xVal>
            <c:numRef>
              <c:f>Sulfat!$E$57:$E$58</c:f>
              <c:numCache>
                <c:formatCode>m/d/yyyy</c:formatCode>
                <c:ptCount val="2"/>
                <c:pt idx="0">
                  <c:v>1</c:v>
                </c:pt>
                <c:pt idx="1">
                  <c:v>51501</c:v>
                </c:pt>
              </c:numCache>
            </c:numRef>
          </c:xVal>
          <c:yVal>
            <c:numRef>
              <c:f>Sulfat!$K$57:$K$58</c:f>
              <c:numCache>
                <c:formatCode>0.000</c:formatCode>
                <c:ptCount val="2"/>
                <c:pt idx="0">
                  <c:v>0</c:v>
                </c:pt>
                <c:pt idx="1">
                  <c:v>0</c:v>
                </c:pt>
              </c:numCache>
            </c:numRef>
          </c:yVal>
          <c:smooth val="0"/>
          <c:extLst>
            <c:ext xmlns:c16="http://schemas.microsoft.com/office/drawing/2014/chart" uri="{C3380CC4-5D6E-409C-BE32-E72D297353CC}">
              <c16:uniqueId val="{00000007-3190-4B68-A055-63C7B8DC89D2}"/>
            </c:ext>
          </c:extLst>
        </c:ser>
        <c:dLbls>
          <c:showLegendKey val="0"/>
          <c:showVal val="0"/>
          <c:showCatName val="0"/>
          <c:showSerName val="0"/>
          <c:showPercent val="0"/>
          <c:showBubbleSize val="0"/>
        </c:dLbls>
        <c:axId val="152825856"/>
        <c:axId val="152827392"/>
      </c:scatterChart>
      <c:valAx>
        <c:axId val="152825856"/>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2827392"/>
        <c:crossesAt val="0"/>
        <c:crossBetween val="midCat"/>
        <c:majorUnit val="1461"/>
        <c:minorUnit val="365.25"/>
      </c:valAx>
      <c:valAx>
        <c:axId val="152827392"/>
        <c:scaling>
          <c:orientation val="minMax"/>
          <c:max val="5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2825856"/>
        <c:crossesAt val="0"/>
        <c:crossBetween val="midCat"/>
        <c:majorUnit val="50"/>
        <c:minorUnit val="10"/>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Chlorid!$F$63:$F$113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Chlorid!$G$63:$G$113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D36C-4486-BC34-D95CD1105664}"/>
            </c:ext>
          </c:extLst>
        </c:ser>
        <c:ser>
          <c:idx val="1"/>
          <c:order val="1"/>
          <c:tx>
            <c:v>LogNormalverteilung</c:v>
          </c:tx>
          <c:spPr>
            <a:ln w="25400">
              <a:solidFill>
                <a:srgbClr val="FF00FF"/>
              </a:solidFill>
              <a:prstDash val="solid"/>
            </a:ln>
          </c:spPr>
          <c:marker>
            <c:symbol val="none"/>
          </c:marker>
          <c:xVal>
            <c:numRef>
              <c:f>Chlorid!$I$63:$I$113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Chlorid!$J$63:$J$113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D36C-4486-BC34-D95CD1105664}"/>
            </c:ext>
          </c:extLst>
        </c:ser>
        <c:ser>
          <c:idx val="2"/>
          <c:order val="2"/>
          <c:tx>
            <c:v>Histogramm</c:v>
          </c:tx>
          <c:spPr>
            <a:ln w="25400">
              <a:solidFill>
                <a:srgbClr val="969696"/>
              </a:solidFill>
              <a:prstDash val="lgDashDot"/>
            </a:ln>
          </c:spPr>
          <c:marker>
            <c:symbol val="none"/>
          </c:marker>
          <c:xVal>
            <c:numRef>
              <c:f>Chlorid!$T$46:$T$97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Chlorid!$U$46:$U$97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D36C-4486-BC34-D95CD1105664}"/>
            </c:ext>
          </c:extLst>
        </c:ser>
        <c:ser>
          <c:idx val="3"/>
          <c:order val="3"/>
          <c:tx>
            <c:v>Q95 No</c:v>
          </c:tx>
          <c:spPr>
            <a:ln w="12700">
              <a:solidFill>
                <a:srgbClr val="0000FF"/>
              </a:solidFill>
              <a:prstDash val="sysDash"/>
            </a:ln>
          </c:spPr>
          <c:marker>
            <c:symbol val="none"/>
          </c:marker>
          <c:xVal>
            <c:numRef>
              <c:f>Chlorid!$U$3:$V$3</c:f>
              <c:numCache>
                <c:formatCode>0.000</c:formatCode>
                <c:ptCount val="2"/>
                <c:pt idx="0">
                  <c:v>0</c:v>
                </c:pt>
                <c:pt idx="1">
                  <c:v>0</c:v>
                </c:pt>
              </c:numCache>
            </c:numRef>
          </c:xVal>
          <c:yVal>
            <c:numRef>
              <c:f>Chlorid!$U$2:$V$2</c:f>
              <c:numCache>
                <c:formatCode>General</c:formatCode>
                <c:ptCount val="2"/>
                <c:pt idx="0">
                  <c:v>0</c:v>
                </c:pt>
                <c:pt idx="1">
                  <c:v>1000</c:v>
                </c:pt>
              </c:numCache>
            </c:numRef>
          </c:yVal>
          <c:smooth val="0"/>
          <c:extLst>
            <c:ext xmlns:c16="http://schemas.microsoft.com/office/drawing/2014/chart" uri="{C3380CC4-5D6E-409C-BE32-E72D297353CC}">
              <c16:uniqueId val="{00000003-D36C-4486-BC34-D95CD1105664}"/>
            </c:ext>
          </c:extLst>
        </c:ser>
        <c:ser>
          <c:idx val="4"/>
          <c:order val="4"/>
          <c:tx>
            <c:v>Q95 Lo</c:v>
          </c:tx>
          <c:spPr>
            <a:ln w="12700">
              <a:solidFill>
                <a:srgbClr val="FF00FF"/>
              </a:solidFill>
              <a:prstDash val="sysDash"/>
            </a:ln>
          </c:spPr>
          <c:marker>
            <c:symbol val="none"/>
          </c:marker>
          <c:xVal>
            <c:numRef>
              <c:f>Chlorid!$U$4:$V$4</c:f>
              <c:numCache>
                <c:formatCode>0.000</c:formatCode>
                <c:ptCount val="2"/>
                <c:pt idx="0">
                  <c:v>0</c:v>
                </c:pt>
                <c:pt idx="1">
                  <c:v>0</c:v>
                </c:pt>
              </c:numCache>
            </c:numRef>
          </c:xVal>
          <c:yVal>
            <c:numRef>
              <c:f>Chlorid!$U$2:$V$2</c:f>
              <c:numCache>
                <c:formatCode>General</c:formatCode>
                <c:ptCount val="2"/>
                <c:pt idx="0">
                  <c:v>0</c:v>
                </c:pt>
                <c:pt idx="1">
                  <c:v>1000</c:v>
                </c:pt>
              </c:numCache>
            </c:numRef>
          </c:yVal>
          <c:smooth val="0"/>
          <c:extLst>
            <c:ext xmlns:c16="http://schemas.microsoft.com/office/drawing/2014/chart" uri="{C3380CC4-5D6E-409C-BE32-E72D297353CC}">
              <c16:uniqueId val="{00000004-D36C-4486-BC34-D95CD1105664}"/>
            </c:ext>
          </c:extLst>
        </c:ser>
        <c:ser>
          <c:idx val="5"/>
          <c:order val="5"/>
          <c:tx>
            <c:v>Q98 No</c:v>
          </c:tx>
          <c:spPr>
            <a:ln w="12700">
              <a:solidFill>
                <a:srgbClr val="0000FF"/>
              </a:solidFill>
              <a:prstDash val="solid"/>
            </a:ln>
          </c:spPr>
          <c:marker>
            <c:symbol val="none"/>
          </c:marker>
          <c:xVal>
            <c:numRef>
              <c:f>Chlorid!$U$5:$V$5</c:f>
              <c:numCache>
                <c:formatCode>0.000</c:formatCode>
                <c:ptCount val="2"/>
                <c:pt idx="0">
                  <c:v>0</c:v>
                </c:pt>
                <c:pt idx="1">
                  <c:v>0</c:v>
                </c:pt>
              </c:numCache>
            </c:numRef>
          </c:xVal>
          <c:yVal>
            <c:numRef>
              <c:f>Chlorid!$U$2:$V$2</c:f>
              <c:numCache>
                <c:formatCode>General</c:formatCode>
                <c:ptCount val="2"/>
                <c:pt idx="0">
                  <c:v>0</c:v>
                </c:pt>
                <c:pt idx="1">
                  <c:v>1000</c:v>
                </c:pt>
              </c:numCache>
            </c:numRef>
          </c:yVal>
          <c:smooth val="0"/>
          <c:extLst>
            <c:ext xmlns:c16="http://schemas.microsoft.com/office/drawing/2014/chart" uri="{C3380CC4-5D6E-409C-BE32-E72D297353CC}">
              <c16:uniqueId val="{00000005-D36C-4486-BC34-D95CD1105664}"/>
            </c:ext>
          </c:extLst>
        </c:ser>
        <c:ser>
          <c:idx val="6"/>
          <c:order val="6"/>
          <c:tx>
            <c:v>Q98 Lo</c:v>
          </c:tx>
          <c:spPr>
            <a:ln w="12700">
              <a:solidFill>
                <a:srgbClr val="FF00FF"/>
              </a:solidFill>
              <a:prstDash val="solid"/>
            </a:ln>
          </c:spPr>
          <c:marker>
            <c:symbol val="none"/>
          </c:marker>
          <c:xVal>
            <c:numRef>
              <c:f>Chlorid!$U$6:$V$6</c:f>
              <c:numCache>
                <c:formatCode>0.000</c:formatCode>
                <c:ptCount val="2"/>
                <c:pt idx="0">
                  <c:v>0</c:v>
                </c:pt>
                <c:pt idx="1">
                  <c:v>0</c:v>
                </c:pt>
              </c:numCache>
            </c:numRef>
          </c:xVal>
          <c:yVal>
            <c:numRef>
              <c:f>Chlorid!$U$2:$V$2</c:f>
              <c:numCache>
                <c:formatCode>General</c:formatCode>
                <c:ptCount val="2"/>
                <c:pt idx="0">
                  <c:v>0</c:v>
                </c:pt>
                <c:pt idx="1">
                  <c:v>1000</c:v>
                </c:pt>
              </c:numCache>
            </c:numRef>
          </c:yVal>
          <c:smooth val="0"/>
          <c:extLst>
            <c:ext xmlns:c16="http://schemas.microsoft.com/office/drawing/2014/chart" uri="{C3380CC4-5D6E-409C-BE32-E72D297353CC}">
              <c16:uniqueId val="{00000006-D36C-4486-BC34-D95CD1105664}"/>
            </c:ext>
          </c:extLst>
        </c:ser>
        <c:ser>
          <c:idx val="7"/>
          <c:order val="7"/>
          <c:tx>
            <c:v>Q95u</c:v>
          </c:tx>
          <c:spPr>
            <a:ln w="12700">
              <a:solidFill>
                <a:srgbClr val="0000FF"/>
              </a:solidFill>
              <a:prstDash val="sysDash"/>
            </a:ln>
          </c:spPr>
          <c:marker>
            <c:symbol val="none"/>
          </c:marker>
          <c:xVal>
            <c:numRef>
              <c:f>Chlorid!$U$7:$V$7</c:f>
              <c:numCache>
                <c:formatCode>0.000</c:formatCode>
                <c:ptCount val="2"/>
                <c:pt idx="0">
                  <c:v>0</c:v>
                </c:pt>
                <c:pt idx="1">
                  <c:v>0</c:v>
                </c:pt>
              </c:numCache>
            </c:numRef>
          </c:xVal>
          <c:yVal>
            <c:numRef>
              <c:f>Chlorid!$U$2:$V$2</c:f>
              <c:numCache>
                <c:formatCode>General</c:formatCode>
                <c:ptCount val="2"/>
                <c:pt idx="0">
                  <c:v>0</c:v>
                </c:pt>
                <c:pt idx="1">
                  <c:v>1000</c:v>
                </c:pt>
              </c:numCache>
            </c:numRef>
          </c:yVal>
          <c:smooth val="0"/>
          <c:extLst>
            <c:ext xmlns:c16="http://schemas.microsoft.com/office/drawing/2014/chart" uri="{C3380CC4-5D6E-409C-BE32-E72D297353CC}">
              <c16:uniqueId val="{00000007-D36C-4486-BC34-D95CD1105664}"/>
            </c:ext>
          </c:extLst>
        </c:ser>
        <c:ser>
          <c:idx val="8"/>
          <c:order val="8"/>
          <c:tx>
            <c:v>Q95u Lo</c:v>
          </c:tx>
          <c:spPr>
            <a:ln w="12700">
              <a:solidFill>
                <a:srgbClr val="FF00FF"/>
              </a:solidFill>
              <a:prstDash val="sysDash"/>
            </a:ln>
          </c:spPr>
          <c:marker>
            <c:symbol val="none"/>
          </c:marker>
          <c:xVal>
            <c:numRef>
              <c:f>Chlorid!$U$8:$V$8</c:f>
              <c:numCache>
                <c:formatCode>0.000</c:formatCode>
                <c:ptCount val="2"/>
                <c:pt idx="0">
                  <c:v>0</c:v>
                </c:pt>
                <c:pt idx="1">
                  <c:v>0</c:v>
                </c:pt>
              </c:numCache>
            </c:numRef>
          </c:xVal>
          <c:yVal>
            <c:numRef>
              <c:f>Chlorid!$U$2:$V$2</c:f>
              <c:numCache>
                <c:formatCode>General</c:formatCode>
                <c:ptCount val="2"/>
                <c:pt idx="0">
                  <c:v>0</c:v>
                </c:pt>
                <c:pt idx="1">
                  <c:v>1000</c:v>
                </c:pt>
              </c:numCache>
            </c:numRef>
          </c:yVal>
          <c:smooth val="0"/>
          <c:extLst>
            <c:ext xmlns:c16="http://schemas.microsoft.com/office/drawing/2014/chart" uri="{C3380CC4-5D6E-409C-BE32-E72D297353CC}">
              <c16:uniqueId val="{00000008-D36C-4486-BC34-D95CD1105664}"/>
            </c:ext>
          </c:extLst>
        </c:ser>
        <c:ser>
          <c:idx val="9"/>
          <c:order val="9"/>
          <c:tx>
            <c:v>Median</c:v>
          </c:tx>
          <c:spPr>
            <a:ln w="12700">
              <a:solidFill>
                <a:srgbClr val="969696"/>
              </a:solidFill>
              <a:prstDash val="lgDashDotDot"/>
            </a:ln>
          </c:spPr>
          <c:marker>
            <c:symbol val="none"/>
          </c:marker>
          <c:xVal>
            <c:numRef>
              <c:f>Chlorid!$U$11:$V$11</c:f>
              <c:numCache>
                <c:formatCode>0.000</c:formatCode>
                <c:ptCount val="2"/>
                <c:pt idx="0">
                  <c:v>0</c:v>
                </c:pt>
                <c:pt idx="1">
                  <c:v>0</c:v>
                </c:pt>
              </c:numCache>
            </c:numRef>
          </c:xVal>
          <c:yVal>
            <c:numRef>
              <c:f>Chlorid!$U$2:$V$2</c:f>
              <c:numCache>
                <c:formatCode>General</c:formatCode>
                <c:ptCount val="2"/>
                <c:pt idx="0">
                  <c:v>0</c:v>
                </c:pt>
                <c:pt idx="1">
                  <c:v>1000</c:v>
                </c:pt>
              </c:numCache>
            </c:numRef>
          </c:yVal>
          <c:smooth val="0"/>
          <c:extLst>
            <c:ext xmlns:c16="http://schemas.microsoft.com/office/drawing/2014/chart" uri="{C3380CC4-5D6E-409C-BE32-E72D297353CC}">
              <c16:uniqueId val="{00000009-D36C-4486-BC34-D95CD1105664}"/>
            </c:ext>
          </c:extLst>
        </c:ser>
        <c:dLbls>
          <c:showLegendKey val="0"/>
          <c:showVal val="0"/>
          <c:showCatName val="0"/>
          <c:showSerName val="0"/>
          <c:showPercent val="0"/>
          <c:showBubbleSize val="0"/>
        </c:dLbls>
        <c:axId val="153197568"/>
        <c:axId val="153215744"/>
      </c:scatterChart>
      <c:valAx>
        <c:axId val="153197568"/>
        <c:scaling>
          <c:orientation val="minMax"/>
          <c:max val="3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3215744"/>
        <c:crosses val="autoZero"/>
        <c:crossBetween val="midCat"/>
        <c:majorUnit val="50"/>
        <c:minorUnit val="10"/>
      </c:valAx>
      <c:valAx>
        <c:axId val="153215744"/>
        <c:scaling>
          <c:orientation val="minMax"/>
          <c:max val="2.0000000000000004E-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3197568"/>
        <c:crosses val="autoZero"/>
        <c:crossBetween val="midCat"/>
        <c:majorUnit val="1.0000000000000002E-2"/>
        <c:minorUnit val="5.000000000000001E-3"/>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Chlorid!$M$3:$M$252</c:f>
              <c:numCache>
                <c:formatCode>d/m/yyyy;@</c:formatCode>
                <c:ptCount val="250"/>
              </c:numCache>
            </c:numRef>
          </c:xVal>
          <c:yVal>
            <c:numRef>
              <c:f>Chlorid!$N$3:$N$252</c:f>
              <c:numCache>
                <c:formatCode>General</c:formatCode>
                <c:ptCount val="250"/>
              </c:numCache>
            </c:numRef>
          </c:yVal>
          <c:smooth val="0"/>
          <c:extLst>
            <c:ext xmlns:c16="http://schemas.microsoft.com/office/drawing/2014/chart" uri="{C3380CC4-5D6E-409C-BE32-E72D297353CC}">
              <c16:uniqueId val="{00000000-38FC-42AC-9748-F6E5DCA130D1}"/>
            </c:ext>
          </c:extLst>
        </c:ser>
        <c:ser>
          <c:idx val="1"/>
          <c:order val="1"/>
          <c:tx>
            <c:v>Q95</c:v>
          </c:tx>
          <c:spPr>
            <a:ln w="12700">
              <a:solidFill>
                <a:srgbClr val="0000FF"/>
              </a:solidFill>
              <a:prstDash val="sysDash"/>
            </a:ln>
          </c:spPr>
          <c:marker>
            <c:symbol val="none"/>
          </c:marker>
          <c:xVal>
            <c:numRef>
              <c:f>Chlorid!$E$57:$E$58</c:f>
              <c:numCache>
                <c:formatCode>m/d/yyyy</c:formatCode>
                <c:ptCount val="2"/>
                <c:pt idx="0">
                  <c:v>1</c:v>
                </c:pt>
                <c:pt idx="1">
                  <c:v>51501</c:v>
                </c:pt>
              </c:numCache>
            </c:numRef>
          </c:xVal>
          <c:yVal>
            <c:numRef>
              <c:f>Chlorid!$F$57:$F$58</c:f>
              <c:numCache>
                <c:formatCode>0.000</c:formatCode>
                <c:ptCount val="2"/>
                <c:pt idx="0">
                  <c:v>0</c:v>
                </c:pt>
                <c:pt idx="1">
                  <c:v>0</c:v>
                </c:pt>
              </c:numCache>
            </c:numRef>
          </c:yVal>
          <c:smooth val="0"/>
          <c:extLst>
            <c:ext xmlns:c16="http://schemas.microsoft.com/office/drawing/2014/chart" uri="{C3380CC4-5D6E-409C-BE32-E72D297353CC}">
              <c16:uniqueId val="{00000001-38FC-42AC-9748-F6E5DCA130D1}"/>
            </c:ext>
          </c:extLst>
        </c:ser>
        <c:ser>
          <c:idx val="4"/>
          <c:order val="2"/>
          <c:tx>
            <c:v>Q95Log</c:v>
          </c:tx>
          <c:spPr>
            <a:ln w="12700">
              <a:solidFill>
                <a:srgbClr val="FF00FF"/>
              </a:solidFill>
              <a:prstDash val="sysDash"/>
            </a:ln>
          </c:spPr>
          <c:marker>
            <c:symbol val="none"/>
          </c:marker>
          <c:xVal>
            <c:numRef>
              <c:f>Chlorid!$E$57:$E$58</c:f>
              <c:numCache>
                <c:formatCode>m/d/yyyy</c:formatCode>
                <c:ptCount val="2"/>
                <c:pt idx="0">
                  <c:v>1</c:v>
                </c:pt>
                <c:pt idx="1">
                  <c:v>51501</c:v>
                </c:pt>
              </c:numCache>
            </c:numRef>
          </c:xVal>
          <c:yVal>
            <c:numRef>
              <c:f>Chlorid!$J$57:$J$58</c:f>
              <c:numCache>
                <c:formatCode>0.000</c:formatCode>
                <c:ptCount val="2"/>
                <c:pt idx="0">
                  <c:v>0</c:v>
                </c:pt>
                <c:pt idx="1">
                  <c:v>0</c:v>
                </c:pt>
              </c:numCache>
            </c:numRef>
          </c:yVal>
          <c:smooth val="0"/>
          <c:extLst>
            <c:ext xmlns:c16="http://schemas.microsoft.com/office/drawing/2014/chart" uri="{C3380CC4-5D6E-409C-BE32-E72D297353CC}">
              <c16:uniqueId val="{00000002-38FC-42AC-9748-F6E5DCA130D1}"/>
            </c:ext>
          </c:extLst>
        </c:ser>
        <c:ser>
          <c:idx val="9"/>
          <c:order val="3"/>
          <c:tx>
            <c:v>vT</c:v>
          </c:tx>
          <c:spPr>
            <a:ln w="12700">
              <a:solidFill>
                <a:srgbClr val="808080"/>
              </a:solidFill>
              <a:prstDash val="sysDash"/>
            </a:ln>
          </c:spPr>
          <c:marker>
            <c:symbol val="none"/>
          </c:marker>
          <c:xVal>
            <c:numRef>
              <c:f>Chlorid!$G$122:$G$123</c:f>
              <c:numCache>
                <c:formatCode>d/m/yyyy;@</c:formatCode>
                <c:ptCount val="2"/>
                <c:pt idx="0">
                  <c:v>0</c:v>
                </c:pt>
                <c:pt idx="1">
                  <c:v>0</c:v>
                </c:pt>
              </c:numCache>
            </c:numRef>
          </c:xVal>
          <c:yVal>
            <c:numRef>
              <c:f>Chlorid!$I$122:$I$123</c:f>
              <c:numCache>
                <c:formatCode>General</c:formatCode>
                <c:ptCount val="2"/>
                <c:pt idx="0">
                  <c:v>0</c:v>
                </c:pt>
                <c:pt idx="1">
                  <c:v>0</c:v>
                </c:pt>
              </c:numCache>
            </c:numRef>
          </c:yVal>
          <c:smooth val="0"/>
          <c:extLst>
            <c:ext xmlns:c16="http://schemas.microsoft.com/office/drawing/2014/chart" uri="{C3380CC4-5D6E-409C-BE32-E72D297353CC}">
              <c16:uniqueId val="{00000003-38FC-42AC-9748-F6E5DCA130D1}"/>
            </c:ext>
          </c:extLst>
        </c:ser>
        <c:ser>
          <c:idx val="10"/>
          <c:order val="4"/>
          <c:tx>
            <c:v>Trend</c:v>
          </c:tx>
          <c:spPr>
            <a:ln w="12700">
              <a:solidFill>
                <a:srgbClr val="808080"/>
              </a:solidFill>
              <a:prstDash val="solid"/>
            </a:ln>
          </c:spPr>
          <c:marker>
            <c:symbol val="none"/>
          </c:marker>
          <c:xVal>
            <c:numRef>
              <c:f>Chlorid!$G$122:$G$123</c:f>
              <c:numCache>
                <c:formatCode>d/m/yyyy;@</c:formatCode>
                <c:ptCount val="2"/>
                <c:pt idx="0">
                  <c:v>0</c:v>
                </c:pt>
                <c:pt idx="1">
                  <c:v>0</c:v>
                </c:pt>
              </c:numCache>
            </c:numRef>
          </c:xVal>
          <c:yVal>
            <c:numRef>
              <c:f>Chlorid!$J$122:$J$123</c:f>
              <c:numCache>
                <c:formatCode>General</c:formatCode>
                <c:ptCount val="2"/>
                <c:pt idx="0">
                  <c:v>0</c:v>
                </c:pt>
                <c:pt idx="1">
                  <c:v>0</c:v>
                </c:pt>
              </c:numCache>
            </c:numRef>
          </c:yVal>
          <c:smooth val="0"/>
          <c:extLst>
            <c:ext xmlns:c16="http://schemas.microsoft.com/office/drawing/2014/chart" uri="{C3380CC4-5D6E-409C-BE32-E72D297353CC}">
              <c16:uniqueId val="{00000004-38FC-42AC-9748-F6E5DCA130D1}"/>
            </c:ext>
          </c:extLst>
        </c:ser>
        <c:ser>
          <c:idx val="2"/>
          <c:order val="5"/>
          <c:tx>
            <c:v>Q95u</c:v>
          </c:tx>
          <c:spPr>
            <a:ln w="12700">
              <a:solidFill>
                <a:srgbClr val="0000FF"/>
              </a:solidFill>
              <a:prstDash val="sysDash"/>
            </a:ln>
          </c:spPr>
          <c:marker>
            <c:symbol val="none"/>
          </c:marker>
          <c:xVal>
            <c:numRef>
              <c:f>Chlorid!$E$57:$E$58</c:f>
              <c:numCache>
                <c:formatCode>m/d/yyyy</c:formatCode>
                <c:ptCount val="2"/>
                <c:pt idx="0">
                  <c:v>1</c:v>
                </c:pt>
                <c:pt idx="1">
                  <c:v>51501</c:v>
                </c:pt>
              </c:numCache>
            </c:numRef>
          </c:xVal>
          <c:yVal>
            <c:numRef>
              <c:f>Chlorid!$G$57:$G$58</c:f>
              <c:numCache>
                <c:formatCode>0.000</c:formatCode>
                <c:ptCount val="2"/>
                <c:pt idx="0">
                  <c:v>0</c:v>
                </c:pt>
                <c:pt idx="1">
                  <c:v>0</c:v>
                </c:pt>
              </c:numCache>
            </c:numRef>
          </c:yVal>
          <c:smooth val="0"/>
          <c:extLst>
            <c:ext xmlns:c16="http://schemas.microsoft.com/office/drawing/2014/chart" uri="{C3380CC4-5D6E-409C-BE32-E72D297353CC}">
              <c16:uniqueId val="{00000005-38FC-42AC-9748-F6E5DCA130D1}"/>
            </c:ext>
          </c:extLst>
        </c:ser>
        <c:ser>
          <c:idx val="3"/>
          <c:order val="6"/>
          <c:tx>
            <c:v>Q98</c:v>
          </c:tx>
          <c:spPr>
            <a:ln w="12700">
              <a:solidFill>
                <a:srgbClr val="0000FF"/>
              </a:solidFill>
              <a:prstDash val="solid"/>
            </a:ln>
          </c:spPr>
          <c:marker>
            <c:symbol val="none"/>
          </c:marker>
          <c:xVal>
            <c:numRef>
              <c:f>Chlorid!$E$57:$E$58</c:f>
              <c:numCache>
                <c:formatCode>m/d/yyyy</c:formatCode>
                <c:ptCount val="2"/>
                <c:pt idx="0">
                  <c:v>1</c:v>
                </c:pt>
                <c:pt idx="1">
                  <c:v>51501</c:v>
                </c:pt>
              </c:numCache>
            </c:numRef>
          </c:xVal>
          <c:yVal>
            <c:numRef>
              <c:f>Chlorid!$H$57:$H$58</c:f>
              <c:numCache>
                <c:formatCode>0.000</c:formatCode>
                <c:ptCount val="2"/>
                <c:pt idx="0">
                  <c:v>0</c:v>
                </c:pt>
                <c:pt idx="1">
                  <c:v>0</c:v>
                </c:pt>
              </c:numCache>
            </c:numRef>
          </c:yVal>
          <c:smooth val="0"/>
          <c:extLst>
            <c:ext xmlns:c16="http://schemas.microsoft.com/office/drawing/2014/chart" uri="{C3380CC4-5D6E-409C-BE32-E72D297353CC}">
              <c16:uniqueId val="{00000006-38FC-42AC-9748-F6E5DCA130D1}"/>
            </c:ext>
          </c:extLst>
        </c:ser>
        <c:ser>
          <c:idx val="6"/>
          <c:order val="7"/>
          <c:tx>
            <c:v>Q98Log</c:v>
          </c:tx>
          <c:spPr>
            <a:ln w="12700">
              <a:solidFill>
                <a:srgbClr val="CC00FF"/>
              </a:solidFill>
            </a:ln>
          </c:spPr>
          <c:marker>
            <c:symbol val="none"/>
          </c:marker>
          <c:xVal>
            <c:numRef>
              <c:f>Chlorid!$E$57:$E$58</c:f>
              <c:numCache>
                <c:formatCode>m/d/yyyy</c:formatCode>
                <c:ptCount val="2"/>
                <c:pt idx="0">
                  <c:v>1</c:v>
                </c:pt>
                <c:pt idx="1">
                  <c:v>51501</c:v>
                </c:pt>
              </c:numCache>
            </c:numRef>
          </c:xVal>
          <c:yVal>
            <c:numRef>
              <c:f>Chlorid!$K$57:$K$58</c:f>
              <c:numCache>
                <c:formatCode>0.000</c:formatCode>
                <c:ptCount val="2"/>
                <c:pt idx="0">
                  <c:v>0</c:v>
                </c:pt>
                <c:pt idx="1">
                  <c:v>0</c:v>
                </c:pt>
              </c:numCache>
            </c:numRef>
          </c:yVal>
          <c:smooth val="0"/>
          <c:extLst>
            <c:ext xmlns:c16="http://schemas.microsoft.com/office/drawing/2014/chart" uri="{C3380CC4-5D6E-409C-BE32-E72D297353CC}">
              <c16:uniqueId val="{00000007-38FC-42AC-9748-F6E5DCA130D1}"/>
            </c:ext>
          </c:extLst>
        </c:ser>
        <c:dLbls>
          <c:showLegendKey val="0"/>
          <c:showVal val="0"/>
          <c:showCatName val="0"/>
          <c:showSerName val="0"/>
          <c:showPercent val="0"/>
          <c:showBubbleSize val="0"/>
        </c:dLbls>
        <c:axId val="136799744"/>
        <c:axId val="136801280"/>
      </c:scatterChart>
      <c:valAx>
        <c:axId val="136799744"/>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36801280"/>
        <c:crossesAt val="0"/>
        <c:crossBetween val="midCat"/>
        <c:majorUnit val="1461"/>
        <c:minorUnit val="365.25"/>
      </c:valAx>
      <c:valAx>
        <c:axId val="136801280"/>
        <c:scaling>
          <c:orientation val="minMax"/>
          <c:max val="30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36799744"/>
        <c:crossesAt val="0"/>
        <c:crossBetween val="midCat"/>
        <c:majorUnit val="100"/>
        <c:minorUnit val="50"/>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TOC!$F$63:$F$113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TOC!$G$63:$G$113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6CB0-45B1-81BC-4A5F9F19D0B2}"/>
            </c:ext>
          </c:extLst>
        </c:ser>
        <c:ser>
          <c:idx val="1"/>
          <c:order val="1"/>
          <c:tx>
            <c:v>LogNormalverteilung</c:v>
          </c:tx>
          <c:spPr>
            <a:ln w="25400">
              <a:solidFill>
                <a:srgbClr val="FF00FF"/>
              </a:solidFill>
              <a:prstDash val="solid"/>
            </a:ln>
          </c:spPr>
          <c:marker>
            <c:symbol val="none"/>
          </c:marker>
          <c:xVal>
            <c:numRef>
              <c:f>TOC!$I$63:$I$113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TOC!$J$63:$J$113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6CB0-45B1-81BC-4A5F9F19D0B2}"/>
            </c:ext>
          </c:extLst>
        </c:ser>
        <c:ser>
          <c:idx val="2"/>
          <c:order val="2"/>
          <c:tx>
            <c:v>Histogramm</c:v>
          </c:tx>
          <c:spPr>
            <a:ln w="25400">
              <a:solidFill>
                <a:srgbClr val="969696"/>
              </a:solidFill>
              <a:prstDash val="lgDashDot"/>
            </a:ln>
          </c:spPr>
          <c:marker>
            <c:symbol val="none"/>
          </c:marker>
          <c:xVal>
            <c:numRef>
              <c:f>TOC!$T$46:$T$97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TOC!$U$46:$U$97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6CB0-45B1-81BC-4A5F9F19D0B2}"/>
            </c:ext>
          </c:extLst>
        </c:ser>
        <c:ser>
          <c:idx val="3"/>
          <c:order val="3"/>
          <c:tx>
            <c:v>Q95 No</c:v>
          </c:tx>
          <c:spPr>
            <a:ln w="12700">
              <a:solidFill>
                <a:srgbClr val="0000FF"/>
              </a:solidFill>
              <a:prstDash val="sysDash"/>
            </a:ln>
          </c:spPr>
          <c:marker>
            <c:symbol val="none"/>
          </c:marker>
          <c:xVal>
            <c:numRef>
              <c:f>TOC!$U$3:$V$3</c:f>
              <c:numCache>
                <c:formatCode>0.000</c:formatCode>
                <c:ptCount val="2"/>
                <c:pt idx="0">
                  <c:v>0</c:v>
                </c:pt>
                <c:pt idx="1">
                  <c:v>0</c:v>
                </c:pt>
              </c:numCache>
            </c:numRef>
          </c:xVal>
          <c:yVal>
            <c:numRef>
              <c:f>TOC!$U$2:$V$2</c:f>
              <c:numCache>
                <c:formatCode>General</c:formatCode>
                <c:ptCount val="2"/>
                <c:pt idx="0">
                  <c:v>0</c:v>
                </c:pt>
                <c:pt idx="1">
                  <c:v>1000</c:v>
                </c:pt>
              </c:numCache>
            </c:numRef>
          </c:yVal>
          <c:smooth val="0"/>
          <c:extLst>
            <c:ext xmlns:c16="http://schemas.microsoft.com/office/drawing/2014/chart" uri="{C3380CC4-5D6E-409C-BE32-E72D297353CC}">
              <c16:uniqueId val="{00000003-6CB0-45B1-81BC-4A5F9F19D0B2}"/>
            </c:ext>
          </c:extLst>
        </c:ser>
        <c:ser>
          <c:idx val="4"/>
          <c:order val="4"/>
          <c:tx>
            <c:v>Q95 Lo</c:v>
          </c:tx>
          <c:spPr>
            <a:ln w="12700">
              <a:solidFill>
                <a:srgbClr val="FF00FF"/>
              </a:solidFill>
              <a:prstDash val="sysDash"/>
            </a:ln>
          </c:spPr>
          <c:marker>
            <c:symbol val="none"/>
          </c:marker>
          <c:xVal>
            <c:numRef>
              <c:f>TOC!$U$4:$V$4</c:f>
              <c:numCache>
                <c:formatCode>0.000</c:formatCode>
                <c:ptCount val="2"/>
                <c:pt idx="0">
                  <c:v>0</c:v>
                </c:pt>
                <c:pt idx="1">
                  <c:v>0</c:v>
                </c:pt>
              </c:numCache>
            </c:numRef>
          </c:xVal>
          <c:yVal>
            <c:numRef>
              <c:f>TOC!$U$2:$V$2</c:f>
              <c:numCache>
                <c:formatCode>General</c:formatCode>
                <c:ptCount val="2"/>
                <c:pt idx="0">
                  <c:v>0</c:v>
                </c:pt>
                <c:pt idx="1">
                  <c:v>1000</c:v>
                </c:pt>
              </c:numCache>
            </c:numRef>
          </c:yVal>
          <c:smooth val="0"/>
          <c:extLst>
            <c:ext xmlns:c16="http://schemas.microsoft.com/office/drawing/2014/chart" uri="{C3380CC4-5D6E-409C-BE32-E72D297353CC}">
              <c16:uniqueId val="{00000004-6CB0-45B1-81BC-4A5F9F19D0B2}"/>
            </c:ext>
          </c:extLst>
        </c:ser>
        <c:ser>
          <c:idx val="5"/>
          <c:order val="5"/>
          <c:tx>
            <c:v>Q98 No</c:v>
          </c:tx>
          <c:spPr>
            <a:ln w="12700">
              <a:solidFill>
                <a:srgbClr val="0000FF"/>
              </a:solidFill>
              <a:prstDash val="solid"/>
            </a:ln>
          </c:spPr>
          <c:marker>
            <c:symbol val="none"/>
          </c:marker>
          <c:xVal>
            <c:numRef>
              <c:f>TOC!$U$5:$V$5</c:f>
              <c:numCache>
                <c:formatCode>0.000</c:formatCode>
                <c:ptCount val="2"/>
                <c:pt idx="0">
                  <c:v>0</c:v>
                </c:pt>
                <c:pt idx="1">
                  <c:v>0</c:v>
                </c:pt>
              </c:numCache>
            </c:numRef>
          </c:xVal>
          <c:yVal>
            <c:numRef>
              <c:f>TOC!$U$2:$V$2</c:f>
              <c:numCache>
                <c:formatCode>General</c:formatCode>
                <c:ptCount val="2"/>
                <c:pt idx="0">
                  <c:v>0</c:v>
                </c:pt>
                <c:pt idx="1">
                  <c:v>1000</c:v>
                </c:pt>
              </c:numCache>
            </c:numRef>
          </c:yVal>
          <c:smooth val="0"/>
          <c:extLst>
            <c:ext xmlns:c16="http://schemas.microsoft.com/office/drawing/2014/chart" uri="{C3380CC4-5D6E-409C-BE32-E72D297353CC}">
              <c16:uniqueId val="{00000005-6CB0-45B1-81BC-4A5F9F19D0B2}"/>
            </c:ext>
          </c:extLst>
        </c:ser>
        <c:ser>
          <c:idx val="6"/>
          <c:order val="6"/>
          <c:tx>
            <c:v>Q98 Lo</c:v>
          </c:tx>
          <c:spPr>
            <a:ln w="12700">
              <a:solidFill>
                <a:srgbClr val="FF00FF"/>
              </a:solidFill>
              <a:prstDash val="solid"/>
            </a:ln>
          </c:spPr>
          <c:marker>
            <c:symbol val="none"/>
          </c:marker>
          <c:xVal>
            <c:numRef>
              <c:f>TOC!$U$6:$V$6</c:f>
              <c:numCache>
                <c:formatCode>0.000</c:formatCode>
                <c:ptCount val="2"/>
                <c:pt idx="0">
                  <c:v>0</c:v>
                </c:pt>
                <c:pt idx="1">
                  <c:v>0</c:v>
                </c:pt>
              </c:numCache>
            </c:numRef>
          </c:xVal>
          <c:yVal>
            <c:numRef>
              <c:f>TOC!$U$2:$V$2</c:f>
              <c:numCache>
                <c:formatCode>General</c:formatCode>
                <c:ptCount val="2"/>
                <c:pt idx="0">
                  <c:v>0</c:v>
                </c:pt>
                <c:pt idx="1">
                  <c:v>1000</c:v>
                </c:pt>
              </c:numCache>
            </c:numRef>
          </c:yVal>
          <c:smooth val="0"/>
          <c:extLst>
            <c:ext xmlns:c16="http://schemas.microsoft.com/office/drawing/2014/chart" uri="{C3380CC4-5D6E-409C-BE32-E72D297353CC}">
              <c16:uniqueId val="{00000006-6CB0-45B1-81BC-4A5F9F19D0B2}"/>
            </c:ext>
          </c:extLst>
        </c:ser>
        <c:ser>
          <c:idx val="7"/>
          <c:order val="7"/>
          <c:tx>
            <c:v>Q95u</c:v>
          </c:tx>
          <c:spPr>
            <a:ln w="12700">
              <a:solidFill>
                <a:srgbClr val="0000FF"/>
              </a:solidFill>
              <a:prstDash val="sysDash"/>
            </a:ln>
          </c:spPr>
          <c:marker>
            <c:symbol val="none"/>
          </c:marker>
          <c:xVal>
            <c:numRef>
              <c:f>TOC!$U$7:$V$7</c:f>
              <c:numCache>
                <c:formatCode>0.000</c:formatCode>
                <c:ptCount val="2"/>
                <c:pt idx="0">
                  <c:v>0</c:v>
                </c:pt>
                <c:pt idx="1">
                  <c:v>0</c:v>
                </c:pt>
              </c:numCache>
            </c:numRef>
          </c:xVal>
          <c:yVal>
            <c:numRef>
              <c:f>TOC!$U$2:$V$2</c:f>
              <c:numCache>
                <c:formatCode>General</c:formatCode>
                <c:ptCount val="2"/>
                <c:pt idx="0">
                  <c:v>0</c:v>
                </c:pt>
                <c:pt idx="1">
                  <c:v>1000</c:v>
                </c:pt>
              </c:numCache>
            </c:numRef>
          </c:yVal>
          <c:smooth val="0"/>
          <c:extLst>
            <c:ext xmlns:c16="http://schemas.microsoft.com/office/drawing/2014/chart" uri="{C3380CC4-5D6E-409C-BE32-E72D297353CC}">
              <c16:uniqueId val="{00000007-6CB0-45B1-81BC-4A5F9F19D0B2}"/>
            </c:ext>
          </c:extLst>
        </c:ser>
        <c:ser>
          <c:idx val="8"/>
          <c:order val="8"/>
          <c:tx>
            <c:v>Q95u Lo</c:v>
          </c:tx>
          <c:spPr>
            <a:ln w="12700">
              <a:solidFill>
                <a:srgbClr val="FF00FF"/>
              </a:solidFill>
              <a:prstDash val="sysDash"/>
            </a:ln>
          </c:spPr>
          <c:marker>
            <c:symbol val="none"/>
          </c:marker>
          <c:xVal>
            <c:numRef>
              <c:f>TOC!$U$8:$V$8</c:f>
              <c:numCache>
                <c:formatCode>0.000</c:formatCode>
                <c:ptCount val="2"/>
                <c:pt idx="0">
                  <c:v>0</c:v>
                </c:pt>
                <c:pt idx="1">
                  <c:v>0</c:v>
                </c:pt>
              </c:numCache>
            </c:numRef>
          </c:xVal>
          <c:yVal>
            <c:numRef>
              <c:f>TOC!$U$2:$V$2</c:f>
              <c:numCache>
                <c:formatCode>General</c:formatCode>
                <c:ptCount val="2"/>
                <c:pt idx="0">
                  <c:v>0</c:v>
                </c:pt>
                <c:pt idx="1">
                  <c:v>1000</c:v>
                </c:pt>
              </c:numCache>
            </c:numRef>
          </c:yVal>
          <c:smooth val="0"/>
          <c:extLst>
            <c:ext xmlns:c16="http://schemas.microsoft.com/office/drawing/2014/chart" uri="{C3380CC4-5D6E-409C-BE32-E72D297353CC}">
              <c16:uniqueId val="{00000008-6CB0-45B1-81BC-4A5F9F19D0B2}"/>
            </c:ext>
          </c:extLst>
        </c:ser>
        <c:ser>
          <c:idx val="9"/>
          <c:order val="9"/>
          <c:tx>
            <c:v>Median</c:v>
          </c:tx>
          <c:spPr>
            <a:ln w="12700">
              <a:solidFill>
                <a:srgbClr val="969696"/>
              </a:solidFill>
              <a:prstDash val="lgDashDotDot"/>
            </a:ln>
          </c:spPr>
          <c:marker>
            <c:symbol val="none"/>
          </c:marker>
          <c:xVal>
            <c:numRef>
              <c:f>TOC!$U$11:$V$11</c:f>
              <c:numCache>
                <c:formatCode>0.000</c:formatCode>
                <c:ptCount val="2"/>
                <c:pt idx="0">
                  <c:v>0</c:v>
                </c:pt>
                <c:pt idx="1">
                  <c:v>0</c:v>
                </c:pt>
              </c:numCache>
            </c:numRef>
          </c:xVal>
          <c:yVal>
            <c:numRef>
              <c:f>TOC!$U$2:$V$2</c:f>
              <c:numCache>
                <c:formatCode>General</c:formatCode>
                <c:ptCount val="2"/>
                <c:pt idx="0">
                  <c:v>0</c:v>
                </c:pt>
                <c:pt idx="1">
                  <c:v>1000</c:v>
                </c:pt>
              </c:numCache>
            </c:numRef>
          </c:yVal>
          <c:smooth val="0"/>
          <c:extLst>
            <c:ext xmlns:c16="http://schemas.microsoft.com/office/drawing/2014/chart" uri="{C3380CC4-5D6E-409C-BE32-E72D297353CC}">
              <c16:uniqueId val="{00000009-6CB0-45B1-81BC-4A5F9F19D0B2}"/>
            </c:ext>
          </c:extLst>
        </c:ser>
        <c:dLbls>
          <c:showLegendKey val="0"/>
          <c:showVal val="0"/>
          <c:showCatName val="0"/>
          <c:showSerName val="0"/>
          <c:showPercent val="0"/>
          <c:showBubbleSize val="0"/>
        </c:dLbls>
        <c:axId val="153666304"/>
        <c:axId val="153667840"/>
      </c:scatterChart>
      <c:valAx>
        <c:axId val="153666304"/>
        <c:scaling>
          <c:orientation val="minMax"/>
          <c:max val="1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3667840"/>
        <c:crosses val="autoZero"/>
        <c:crossBetween val="midCat"/>
        <c:majorUnit val="2"/>
        <c:minorUnit val="1"/>
      </c:valAx>
      <c:valAx>
        <c:axId val="153667840"/>
        <c:scaling>
          <c:orientation val="minMax"/>
          <c:max val="1"/>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3666304"/>
        <c:crosses val="autoZero"/>
        <c:crossBetween val="midCat"/>
        <c:majorUnit val="0.2"/>
        <c:minorUnit val="0.1"/>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TOC!$M$3:$M$252</c:f>
              <c:numCache>
                <c:formatCode>d/m/yyyy;@</c:formatCode>
                <c:ptCount val="250"/>
              </c:numCache>
            </c:numRef>
          </c:xVal>
          <c:yVal>
            <c:numRef>
              <c:f>TOC!$N$3:$N$252</c:f>
              <c:numCache>
                <c:formatCode>General</c:formatCode>
                <c:ptCount val="250"/>
              </c:numCache>
            </c:numRef>
          </c:yVal>
          <c:smooth val="0"/>
          <c:extLst>
            <c:ext xmlns:c16="http://schemas.microsoft.com/office/drawing/2014/chart" uri="{C3380CC4-5D6E-409C-BE32-E72D297353CC}">
              <c16:uniqueId val="{00000000-9C88-4A5C-919A-E2AC8AC4E95C}"/>
            </c:ext>
          </c:extLst>
        </c:ser>
        <c:ser>
          <c:idx val="1"/>
          <c:order val="1"/>
          <c:tx>
            <c:v>Q95</c:v>
          </c:tx>
          <c:spPr>
            <a:ln w="12700">
              <a:solidFill>
                <a:srgbClr val="0000FF"/>
              </a:solidFill>
              <a:prstDash val="sysDash"/>
            </a:ln>
          </c:spPr>
          <c:marker>
            <c:symbol val="none"/>
          </c:marker>
          <c:xVal>
            <c:numRef>
              <c:f>TOC!$E$57:$E$58</c:f>
              <c:numCache>
                <c:formatCode>m/d/yyyy</c:formatCode>
                <c:ptCount val="2"/>
                <c:pt idx="0">
                  <c:v>1</c:v>
                </c:pt>
                <c:pt idx="1">
                  <c:v>73415</c:v>
                </c:pt>
              </c:numCache>
            </c:numRef>
          </c:xVal>
          <c:yVal>
            <c:numRef>
              <c:f>TOC!$F$57:$F$58</c:f>
              <c:numCache>
                <c:formatCode>0.000</c:formatCode>
                <c:ptCount val="2"/>
                <c:pt idx="0">
                  <c:v>0</c:v>
                </c:pt>
                <c:pt idx="1">
                  <c:v>0</c:v>
                </c:pt>
              </c:numCache>
            </c:numRef>
          </c:yVal>
          <c:smooth val="0"/>
          <c:extLst>
            <c:ext xmlns:c16="http://schemas.microsoft.com/office/drawing/2014/chart" uri="{C3380CC4-5D6E-409C-BE32-E72D297353CC}">
              <c16:uniqueId val="{00000001-9C88-4A5C-919A-E2AC8AC4E95C}"/>
            </c:ext>
          </c:extLst>
        </c:ser>
        <c:ser>
          <c:idx val="4"/>
          <c:order val="2"/>
          <c:tx>
            <c:v>Q95Log</c:v>
          </c:tx>
          <c:spPr>
            <a:ln w="12700">
              <a:solidFill>
                <a:srgbClr val="FF00FF"/>
              </a:solidFill>
              <a:prstDash val="sysDash"/>
            </a:ln>
          </c:spPr>
          <c:marker>
            <c:symbol val="none"/>
          </c:marker>
          <c:xVal>
            <c:numRef>
              <c:f>TOC!$E$57:$E$58</c:f>
              <c:numCache>
                <c:formatCode>m/d/yyyy</c:formatCode>
                <c:ptCount val="2"/>
                <c:pt idx="0">
                  <c:v>1</c:v>
                </c:pt>
                <c:pt idx="1">
                  <c:v>73415</c:v>
                </c:pt>
              </c:numCache>
            </c:numRef>
          </c:xVal>
          <c:yVal>
            <c:numRef>
              <c:f>TOC!$J$57:$J$58</c:f>
              <c:numCache>
                <c:formatCode>0.000</c:formatCode>
                <c:ptCount val="2"/>
                <c:pt idx="0">
                  <c:v>0</c:v>
                </c:pt>
                <c:pt idx="1">
                  <c:v>0</c:v>
                </c:pt>
              </c:numCache>
            </c:numRef>
          </c:yVal>
          <c:smooth val="0"/>
          <c:extLst>
            <c:ext xmlns:c16="http://schemas.microsoft.com/office/drawing/2014/chart" uri="{C3380CC4-5D6E-409C-BE32-E72D297353CC}">
              <c16:uniqueId val="{00000002-9C88-4A5C-919A-E2AC8AC4E95C}"/>
            </c:ext>
          </c:extLst>
        </c:ser>
        <c:ser>
          <c:idx val="9"/>
          <c:order val="3"/>
          <c:tx>
            <c:v>vT</c:v>
          </c:tx>
          <c:spPr>
            <a:ln w="12700">
              <a:solidFill>
                <a:srgbClr val="808080"/>
              </a:solidFill>
              <a:prstDash val="sysDash"/>
            </a:ln>
          </c:spPr>
          <c:marker>
            <c:symbol val="none"/>
          </c:marker>
          <c:xVal>
            <c:numRef>
              <c:f>TOC!$G$122:$G$123</c:f>
              <c:numCache>
                <c:formatCode>d/m/yyyy;@</c:formatCode>
                <c:ptCount val="2"/>
                <c:pt idx="0">
                  <c:v>0</c:v>
                </c:pt>
                <c:pt idx="1">
                  <c:v>0</c:v>
                </c:pt>
              </c:numCache>
            </c:numRef>
          </c:xVal>
          <c:yVal>
            <c:numRef>
              <c:f>TOC!$I$122:$I$123</c:f>
              <c:numCache>
                <c:formatCode>General</c:formatCode>
                <c:ptCount val="2"/>
                <c:pt idx="0">
                  <c:v>0</c:v>
                </c:pt>
                <c:pt idx="1">
                  <c:v>0</c:v>
                </c:pt>
              </c:numCache>
            </c:numRef>
          </c:yVal>
          <c:smooth val="0"/>
          <c:extLst>
            <c:ext xmlns:c16="http://schemas.microsoft.com/office/drawing/2014/chart" uri="{C3380CC4-5D6E-409C-BE32-E72D297353CC}">
              <c16:uniqueId val="{00000003-9C88-4A5C-919A-E2AC8AC4E95C}"/>
            </c:ext>
          </c:extLst>
        </c:ser>
        <c:ser>
          <c:idx val="10"/>
          <c:order val="4"/>
          <c:tx>
            <c:v>Trend</c:v>
          </c:tx>
          <c:spPr>
            <a:ln w="12700">
              <a:solidFill>
                <a:srgbClr val="808080"/>
              </a:solidFill>
              <a:prstDash val="solid"/>
            </a:ln>
          </c:spPr>
          <c:marker>
            <c:symbol val="none"/>
          </c:marker>
          <c:xVal>
            <c:numRef>
              <c:f>TOC!$G$122:$G$123</c:f>
              <c:numCache>
                <c:formatCode>d/m/yyyy;@</c:formatCode>
                <c:ptCount val="2"/>
                <c:pt idx="0">
                  <c:v>0</c:v>
                </c:pt>
                <c:pt idx="1">
                  <c:v>0</c:v>
                </c:pt>
              </c:numCache>
            </c:numRef>
          </c:xVal>
          <c:yVal>
            <c:numRef>
              <c:f>TOC!$J$122:$J$123</c:f>
              <c:numCache>
                <c:formatCode>General</c:formatCode>
                <c:ptCount val="2"/>
                <c:pt idx="0">
                  <c:v>0</c:v>
                </c:pt>
                <c:pt idx="1">
                  <c:v>0</c:v>
                </c:pt>
              </c:numCache>
            </c:numRef>
          </c:yVal>
          <c:smooth val="0"/>
          <c:extLst>
            <c:ext xmlns:c16="http://schemas.microsoft.com/office/drawing/2014/chart" uri="{C3380CC4-5D6E-409C-BE32-E72D297353CC}">
              <c16:uniqueId val="{00000004-9C88-4A5C-919A-E2AC8AC4E95C}"/>
            </c:ext>
          </c:extLst>
        </c:ser>
        <c:ser>
          <c:idx val="2"/>
          <c:order val="5"/>
          <c:tx>
            <c:v>Q95u</c:v>
          </c:tx>
          <c:spPr>
            <a:ln w="12700">
              <a:solidFill>
                <a:srgbClr val="0000FF"/>
              </a:solidFill>
              <a:prstDash val="sysDash"/>
            </a:ln>
          </c:spPr>
          <c:marker>
            <c:symbol val="none"/>
          </c:marker>
          <c:xVal>
            <c:numRef>
              <c:f>TOC!$E$57:$E$58</c:f>
              <c:numCache>
                <c:formatCode>m/d/yyyy</c:formatCode>
                <c:ptCount val="2"/>
                <c:pt idx="0">
                  <c:v>1</c:v>
                </c:pt>
                <c:pt idx="1">
                  <c:v>73415</c:v>
                </c:pt>
              </c:numCache>
            </c:numRef>
          </c:xVal>
          <c:yVal>
            <c:numRef>
              <c:f>TOC!$G$57:$G$58</c:f>
              <c:numCache>
                <c:formatCode>0.000</c:formatCode>
                <c:ptCount val="2"/>
                <c:pt idx="0">
                  <c:v>0</c:v>
                </c:pt>
                <c:pt idx="1">
                  <c:v>0</c:v>
                </c:pt>
              </c:numCache>
            </c:numRef>
          </c:yVal>
          <c:smooth val="0"/>
          <c:extLst>
            <c:ext xmlns:c16="http://schemas.microsoft.com/office/drawing/2014/chart" uri="{C3380CC4-5D6E-409C-BE32-E72D297353CC}">
              <c16:uniqueId val="{00000005-9C88-4A5C-919A-E2AC8AC4E95C}"/>
            </c:ext>
          </c:extLst>
        </c:ser>
        <c:ser>
          <c:idx val="3"/>
          <c:order val="6"/>
          <c:tx>
            <c:v>Q98</c:v>
          </c:tx>
          <c:spPr>
            <a:ln w="12700">
              <a:solidFill>
                <a:srgbClr val="0000FF"/>
              </a:solidFill>
              <a:prstDash val="solid"/>
            </a:ln>
          </c:spPr>
          <c:marker>
            <c:symbol val="none"/>
          </c:marker>
          <c:xVal>
            <c:numRef>
              <c:f>TOC!$E$57:$E$58</c:f>
              <c:numCache>
                <c:formatCode>m/d/yyyy</c:formatCode>
                <c:ptCount val="2"/>
                <c:pt idx="0">
                  <c:v>1</c:v>
                </c:pt>
                <c:pt idx="1">
                  <c:v>73415</c:v>
                </c:pt>
              </c:numCache>
            </c:numRef>
          </c:xVal>
          <c:yVal>
            <c:numRef>
              <c:f>TOC!$H$57:$H$58</c:f>
              <c:numCache>
                <c:formatCode>0.000</c:formatCode>
                <c:ptCount val="2"/>
                <c:pt idx="0">
                  <c:v>0</c:v>
                </c:pt>
                <c:pt idx="1">
                  <c:v>0</c:v>
                </c:pt>
              </c:numCache>
            </c:numRef>
          </c:yVal>
          <c:smooth val="0"/>
          <c:extLst>
            <c:ext xmlns:c16="http://schemas.microsoft.com/office/drawing/2014/chart" uri="{C3380CC4-5D6E-409C-BE32-E72D297353CC}">
              <c16:uniqueId val="{00000006-9C88-4A5C-919A-E2AC8AC4E95C}"/>
            </c:ext>
          </c:extLst>
        </c:ser>
        <c:ser>
          <c:idx val="6"/>
          <c:order val="7"/>
          <c:tx>
            <c:v>Q98Log</c:v>
          </c:tx>
          <c:spPr>
            <a:ln w="12700">
              <a:solidFill>
                <a:srgbClr val="CC00FF"/>
              </a:solidFill>
            </a:ln>
          </c:spPr>
          <c:marker>
            <c:symbol val="none"/>
          </c:marker>
          <c:xVal>
            <c:numRef>
              <c:f>TOC!$E$57:$E$58</c:f>
              <c:numCache>
                <c:formatCode>m/d/yyyy</c:formatCode>
                <c:ptCount val="2"/>
                <c:pt idx="0">
                  <c:v>1</c:v>
                </c:pt>
                <c:pt idx="1">
                  <c:v>73415</c:v>
                </c:pt>
              </c:numCache>
            </c:numRef>
          </c:xVal>
          <c:yVal>
            <c:numRef>
              <c:f>TOC!$K$57:$K$58</c:f>
              <c:numCache>
                <c:formatCode>0.000</c:formatCode>
                <c:ptCount val="2"/>
                <c:pt idx="0">
                  <c:v>0</c:v>
                </c:pt>
                <c:pt idx="1">
                  <c:v>0</c:v>
                </c:pt>
              </c:numCache>
            </c:numRef>
          </c:yVal>
          <c:smooth val="0"/>
          <c:extLst>
            <c:ext xmlns:c16="http://schemas.microsoft.com/office/drawing/2014/chart" uri="{C3380CC4-5D6E-409C-BE32-E72D297353CC}">
              <c16:uniqueId val="{00000007-9C88-4A5C-919A-E2AC8AC4E95C}"/>
            </c:ext>
          </c:extLst>
        </c:ser>
        <c:dLbls>
          <c:showLegendKey val="0"/>
          <c:showVal val="0"/>
          <c:showCatName val="0"/>
          <c:showSerName val="0"/>
          <c:showPercent val="0"/>
          <c:showBubbleSize val="0"/>
        </c:dLbls>
        <c:axId val="154037248"/>
        <c:axId val="154059520"/>
      </c:scatterChart>
      <c:valAx>
        <c:axId val="154037248"/>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4059520"/>
        <c:crossesAt val="0"/>
        <c:crossBetween val="midCat"/>
        <c:majorUnit val="1461"/>
        <c:minorUnit val="365.25"/>
      </c:valAx>
      <c:valAx>
        <c:axId val="154059520"/>
        <c:scaling>
          <c:orientation val="minMax"/>
          <c:max val="1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4037248"/>
        <c:crossesAt val="0"/>
        <c:crossBetween val="midCat"/>
        <c:majorUnit val="2"/>
        <c:minorUnit val="1"/>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Fluorid!$F$63:$F$113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Fluorid!$G$63:$G$113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F619-488E-8D45-7109674B9F44}"/>
            </c:ext>
          </c:extLst>
        </c:ser>
        <c:ser>
          <c:idx val="1"/>
          <c:order val="1"/>
          <c:tx>
            <c:v>LogNormalverteilung</c:v>
          </c:tx>
          <c:spPr>
            <a:ln w="25400">
              <a:solidFill>
                <a:srgbClr val="FF00FF"/>
              </a:solidFill>
              <a:prstDash val="solid"/>
            </a:ln>
          </c:spPr>
          <c:marker>
            <c:symbol val="none"/>
          </c:marker>
          <c:xVal>
            <c:numRef>
              <c:f>Fluorid!$I$63:$I$113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Fluorid!$J$63:$J$113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F619-488E-8D45-7109674B9F44}"/>
            </c:ext>
          </c:extLst>
        </c:ser>
        <c:ser>
          <c:idx val="2"/>
          <c:order val="2"/>
          <c:tx>
            <c:v>Histogramm</c:v>
          </c:tx>
          <c:spPr>
            <a:ln w="25400">
              <a:solidFill>
                <a:srgbClr val="969696"/>
              </a:solidFill>
              <a:prstDash val="lgDashDot"/>
            </a:ln>
          </c:spPr>
          <c:marker>
            <c:symbol val="none"/>
          </c:marker>
          <c:xVal>
            <c:numRef>
              <c:f>Fluorid!$T$46:$T$97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Fluorid!$U$46:$U$97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F619-488E-8D45-7109674B9F44}"/>
            </c:ext>
          </c:extLst>
        </c:ser>
        <c:ser>
          <c:idx val="3"/>
          <c:order val="3"/>
          <c:tx>
            <c:v>Q95 No</c:v>
          </c:tx>
          <c:spPr>
            <a:ln w="12700">
              <a:solidFill>
                <a:srgbClr val="0000FF"/>
              </a:solidFill>
              <a:prstDash val="sysDash"/>
            </a:ln>
          </c:spPr>
          <c:marker>
            <c:symbol val="none"/>
          </c:marker>
          <c:xVal>
            <c:numRef>
              <c:f>Fluorid!$U$3:$V$3</c:f>
              <c:numCache>
                <c:formatCode>0.000</c:formatCode>
                <c:ptCount val="2"/>
                <c:pt idx="0">
                  <c:v>0</c:v>
                </c:pt>
                <c:pt idx="1">
                  <c:v>0</c:v>
                </c:pt>
              </c:numCache>
            </c:numRef>
          </c:xVal>
          <c:yVal>
            <c:numRef>
              <c:f>Fluorid!$U$2:$V$2</c:f>
              <c:numCache>
                <c:formatCode>General</c:formatCode>
                <c:ptCount val="2"/>
                <c:pt idx="0">
                  <c:v>0</c:v>
                </c:pt>
                <c:pt idx="1">
                  <c:v>1000</c:v>
                </c:pt>
              </c:numCache>
            </c:numRef>
          </c:yVal>
          <c:smooth val="0"/>
          <c:extLst>
            <c:ext xmlns:c16="http://schemas.microsoft.com/office/drawing/2014/chart" uri="{C3380CC4-5D6E-409C-BE32-E72D297353CC}">
              <c16:uniqueId val="{00000003-F619-488E-8D45-7109674B9F44}"/>
            </c:ext>
          </c:extLst>
        </c:ser>
        <c:ser>
          <c:idx val="4"/>
          <c:order val="4"/>
          <c:tx>
            <c:v>Q95 Lo</c:v>
          </c:tx>
          <c:spPr>
            <a:ln w="12700">
              <a:solidFill>
                <a:srgbClr val="FF00FF"/>
              </a:solidFill>
              <a:prstDash val="sysDash"/>
            </a:ln>
          </c:spPr>
          <c:marker>
            <c:symbol val="none"/>
          </c:marker>
          <c:xVal>
            <c:numRef>
              <c:f>Fluorid!$U$4:$V$4</c:f>
              <c:numCache>
                <c:formatCode>0.000</c:formatCode>
                <c:ptCount val="2"/>
                <c:pt idx="0">
                  <c:v>0</c:v>
                </c:pt>
                <c:pt idx="1">
                  <c:v>0</c:v>
                </c:pt>
              </c:numCache>
            </c:numRef>
          </c:xVal>
          <c:yVal>
            <c:numRef>
              <c:f>Fluorid!$U$2:$V$2</c:f>
              <c:numCache>
                <c:formatCode>General</c:formatCode>
                <c:ptCount val="2"/>
                <c:pt idx="0">
                  <c:v>0</c:v>
                </c:pt>
                <c:pt idx="1">
                  <c:v>1000</c:v>
                </c:pt>
              </c:numCache>
            </c:numRef>
          </c:yVal>
          <c:smooth val="0"/>
          <c:extLst>
            <c:ext xmlns:c16="http://schemas.microsoft.com/office/drawing/2014/chart" uri="{C3380CC4-5D6E-409C-BE32-E72D297353CC}">
              <c16:uniqueId val="{00000004-F619-488E-8D45-7109674B9F44}"/>
            </c:ext>
          </c:extLst>
        </c:ser>
        <c:ser>
          <c:idx val="5"/>
          <c:order val="5"/>
          <c:tx>
            <c:v>Q98 No</c:v>
          </c:tx>
          <c:spPr>
            <a:ln w="12700">
              <a:solidFill>
                <a:srgbClr val="0000FF"/>
              </a:solidFill>
              <a:prstDash val="solid"/>
            </a:ln>
          </c:spPr>
          <c:marker>
            <c:symbol val="none"/>
          </c:marker>
          <c:xVal>
            <c:numRef>
              <c:f>Fluorid!$U$5:$V$5</c:f>
              <c:numCache>
                <c:formatCode>0.000</c:formatCode>
                <c:ptCount val="2"/>
                <c:pt idx="0">
                  <c:v>0</c:v>
                </c:pt>
                <c:pt idx="1">
                  <c:v>0</c:v>
                </c:pt>
              </c:numCache>
            </c:numRef>
          </c:xVal>
          <c:yVal>
            <c:numRef>
              <c:f>Fluorid!$U$2:$V$2</c:f>
              <c:numCache>
                <c:formatCode>General</c:formatCode>
                <c:ptCount val="2"/>
                <c:pt idx="0">
                  <c:v>0</c:v>
                </c:pt>
                <c:pt idx="1">
                  <c:v>1000</c:v>
                </c:pt>
              </c:numCache>
            </c:numRef>
          </c:yVal>
          <c:smooth val="0"/>
          <c:extLst>
            <c:ext xmlns:c16="http://schemas.microsoft.com/office/drawing/2014/chart" uri="{C3380CC4-5D6E-409C-BE32-E72D297353CC}">
              <c16:uniqueId val="{00000005-F619-488E-8D45-7109674B9F44}"/>
            </c:ext>
          </c:extLst>
        </c:ser>
        <c:ser>
          <c:idx val="6"/>
          <c:order val="6"/>
          <c:tx>
            <c:v>Q98 Lo</c:v>
          </c:tx>
          <c:spPr>
            <a:ln w="12700">
              <a:solidFill>
                <a:srgbClr val="FF00FF"/>
              </a:solidFill>
              <a:prstDash val="solid"/>
            </a:ln>
          </c:spPr>
          <c:marker>
            <c:symbol val="none"/>
          </c:marker>
          <c:xVal>
            <c:numRef>
              <c:f>Fluorid!$U$6:$V$6</c:f>
              <c:numCache>
                <c:formatCode>0.000</c:formatCode>
                <c:ptCount val="2"/>
                <c:pt idx="0">
                  <c:v>0</c:v>
                </c:pt>
                <c:pt idx="1">
                  <c:v>0</c:v>
                </c:pt>
              </c:numCache>
            </c:numRef>
          </c:xVal>
          <c:yVal>
            <c:numRef>
              <c:f>Fluorid!$U$2:$V$2</c:f>
              <c:numCache>
                <c:formatCode>General</c:formatCode>
                <c:ptCount val="2"/>
                <c:pt idx="0">
                  <c:v>0</c:v>
                </c:pt>
                <c:pt idx="1">
                  <c:v>1000</c:v>
                </c:pt>
              </c:numCache>
            </c:numRef>
          </c:yVal>
          <c:smooth val="0"/>
          <c:extLst>
            <c:ext xmlns:c16="http://schemas.microsoft.com/office/drawing/2014/chart" uri="{C3380CC4-5D6E-409C-BE32-E72D297353CC}">
              <c16:uniqueId val="{00000006-F619-488E-8D45-7109674B9F44}"/>
            </c:ext>
          </c:extLst>
        </c:ser>
        <c:ser>
          <c:idx val="7"/>
          <c:order val="7"/>
          <c:tx>
            <c:v>Q95u</c:v>
          </c:tx>
          <c:spPr>
            <a:ln w="12700">
              <a:solidFill>
                <a:srgbClr val="0000FF"/>
              </a:solidFill>
              <a:prstDash val="sysDash"/>
            </a:ln>
          </c:spPr>
          <c:marker>
            <c:symbol val="none"/>
          </c:marker>
          <c:xVal>
            <c:numRef>
              <c:f>Fluorid!$U$7:$V$7</c:f>
              <c:numCache>
                <c:formatCode>0.000</c:formatCode>
                <c:ptCount val="2"/>
                <c:pt idx="0">
                  <c:v>0</c:v>
                </c:pt>
                <c:pt idx="1">
                  <c:v>0</c:v>
                </c:pt>
              </c:numCache>
            </c:numRef>
          </c:xVal>
          <c:yVal>
            <c:numRef>
              <c:f>Fluorid!$U$2:$V$2</c:f>
              <c:numCache>
                <c:formatCode>General</c:formatCode>
                <c:ptCount val="2"/>
                <c:pt idx="0">
                  <c:v>0</c:v>
                </c:pt>
                <c:pt idx="1">
                  <c:v>1000</c:v>
                </c:pt>
              </c:numCache>
            </c:numRef>
          </c:yVal>
          <c:smooth val="0"/>
          <c:extLst>
            <c:ext xmlns:c16="http://schemas.microsoft.com/office/drawing/2014/chart" uri="{C3380CC4-5D6E-409C-BE32-E72D297353CC}">
              <c16:uniqueId val="{00000007-F619-488E-8D45-7109674B9F44}"/>
            </c:ext>
          </c:extLst>
        </c:ser>
        <c:ser>
          <c:idx val="8"/>
          <c:order val="8"/>
          <c:tx>
            <c:v>Q95u Lo</c:v>
          </c:tx>
          <c:spPr>
            <a:ln w="12700">
              <a:solidFill>
                <a:srgbClr val="FF00FF"/>
              </a:solidFill>
              <a:prstDash val="sysDash"/>
            </a:ln>
          </c:spPr>
          <c:marker>
            <c:symbol val="none"/>
          </c:marker>
          <c:xVal>
            <c:numRef>
              <c:f>Fluorid!$U$8:$V$8</c:f>
              <c:numCache>
                <c:formatCode>0.000</c:formatCode>
                <c:ptCount val="2"/>
                <c:pt idx="0">
                  <c:v>0</c:v>
                </c:pt>
                <c:pt idx="1">
                  <c:v>0</c:v>
                </c:pt>
              </c:numCache>
            </c:numRef>
          </c:xVal>
          <c:yVal>
            <c:numRef>
              <c:f>Fluorid!$U$2:$V$2</c:f>
              <c:numCache>
                <c:formatCode>General</c:formatCode>
                <c:ptCount val="2"/>
                <c:pt idx="0">
                  <c:v>0</c:v>
                </c:pt>
                <c:pt idx="1">
                  <c:v>1000</c:v>
                </c:pt>
              </c:numCache>
            </c:numRef>
          </c:yVal>
          <c:smooth val="0"/>
          <c:extLst>
            <c:ext xmlns:c16="http://schemas.microsoft.com/office/drawing/2014/chart" uri="{C3380CC4-5D6E-409C-BE32-E72D297353CC}">
              <c16:uniqueId val="{00000008-F619-488E-8D45-7109674B9F44}"/>
            </c:ext>
          </c:extLst>
        </c:ser>
        <c:ser>
          <c:idx val="9"/>
          <c:order val="9"/>
          <c:tx>
            <c:v>Median</c:v>
          </c:tx>
          <c:spPr>
            <a:ln w="12700">
              <a:solidFill>
                <a:srgbClr val="969696"/>
              </a:solidFill>
              <a:prstDash val="lgDashDotDot"/>
            </a:ln>
          </c:spPr>
          <c:marker>
            <c:symbol val="none"/>
          </c:marker>
          <c:xVal>
            <c:numRef>
              <c:f>Fluorid!$U$11:$V$11</c:f>
              <c:numCache>
                <c:formatCode>0.000</c:formatCode>
                <c:ptCount val="2"/>
                <c:pt idx="0">
                  <c:v>0</c:v>
                </c:pt>
                <c:pt idx="1">
                  <c:v>0</c:v>
                </c:pt>
              </c:numCache>
            </c:numRef>
          </c:xVal>
          <c:yVal>
            <c:numRef>
              <c:f>Fluorid!$U$2:$V$2</c:f>
              <c:numCache>
                <c:formatCode>General</c:formatCode>
                <c:ptCount val="2"/>
                <c:pt idx="0">
                  <c:v>0</c:v>
                </c:pt>
                <c:pt idx="1">
                  <c:v>1000</c:v>
                </c:pt>
              </c:numCache>
            </c:numRef>
          </c:yVal>
          <c:smooth val="0"/>
          <c:extLst>
            <c:ext xmlns:c16="http://schemas.microsoft.com/office/drawing/2014/chart" uri="{C3380CC4-5D6E-409C-BE32-E72D297353CC}">
              <c16:uniqueId val="{00000009-F619-488E-8D45-7109674B9F44}"/>
            </c:ext>
          </c:extLst>
        </c:ser>
        <c:dLbls>
          <c:showLegendKey val="0"/>
          <c:showVal val="0"/>
          <c:showCatName val="0"/>
          <c:showSerName val="0"/>
          <c:showPercent val="0"/>
          <c:showBubbleSize val="0"/>
        </c:dLbls>
        <c:axId val="154228992"/>
        <c:axId val="154234880"/>
      </c:scatterChart>
      <c:valAx>
        <c:axId val="154228992"/>
        <c:scaling>
          <c:orientation val="minMax"/>
          <c:max val="2.5"/>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4234880"/>
        <c:crosses val="autoZero"/>
        <c:crossBetween val="midCat"/>
        <c:majorUnit val="1"/>
        <c:minorUnit val="0.2"/>
      </c:valAx>
      <c:valAx>
        <c:axId val="154234880"/>
        <c:scaling>
          <c:orientation val="minMax"/>
          <c:max val="3"/>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4228992"/>
        <c:crosses val="autoZero"/>
        <c:crossBetween val="midCat"/>
        <c:majorUnit val="1"/>
        <c:minorUnit val="0.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Fluorid!$M$3:$M$252</c:f>
              <c:numCache>
                <c:formatCode>d/m/yyyy;@</c:formatCode>
                <c:ptCount val="250"/>
              </c:numCache>
            </c:numRef>
          </c:xVal>
          <c:yVal>
            <c:numRef>
              <c:f>Fluorid!$N$3:$N$252</c:f>
              <c:numCache>
                <c:formatCode>General</c:formatCode>
                <c:ptCount val="250"/>
              </c:numCache>
            </c:numRef>
          </c:yVal>
          <c:smooth val="0"/>
          <c:extLst>
            <c:ext xmlns:c16="http://schemas.microsoft.com/office/drawing/2014/chart" uri="{C3380CC4-5D6E-409C-BE32-E72D297353CC}">
              <c16:uniqueId val="{00000000-1002-4F92-A26A-4A3062124F64}"/>
            </c:ext>
          </c:extLst>
        </c:ser>
        <c:ser>
          <c:idx val="1"/>
          <c:order val="1"/>
          <c:tx>
            <c:v>Q95</c:v>
          </c:tx>
          <c:spPr>
            <a:ln w="12700">
              <a:solidFill>
                <a:srgbClr val="0000FF"/>
              </a:solidFill>
              <a:prstDash val="sysDash"/>
            </a:ln>
          </c:spPr>
          <c:marker>
            <c:symbol val="none"/>
          </c:marker>
          <c:xVal>
            <c:numRef>
              <c:f>Fluorid!$E$57:$E$58</c:f>
              <c:numCache>
                <c:formatCode>m/d/yyyy</c:formatCode>
                <c:ptCount val="2"/>
                <c:pt idx="0">
                  <c:v>36161</c:v>
                </c:pt>
                <c:pt idx="1">
                  <c:v>44196</c:v>
                </c:pt>
              </c:numCache>
            </c:numRef>
          </c:xVal>
          <c:yVal>
            <c:numRef>
              <c:f>Fluorid!$F$57:$F$58</c:f>
              <c:numCache>
                <c:formatCode>0.000</c:formatCode>
                <c:ptCount val="2"/>
                <c:pt idx="0">
                  <c:v>0</c:v>
                </c:pt>
                <c:pt idx="1">
                  <c:v>0</c:v>
                </c:pt>
              </c:numCache>
            </c:numRef>
          </c:yVal>
          <c:smooth val="0"/>
          <c:extLst>
            <c:ext xmlns:c16="http://schemas.microsoft.com/office/drawing/2014/chart" uri="{C3380CC4-5D6E-409C-BE32-E72D297353CC}">
              <c16:uniqueId val="{00000001-1002-4F92-A26A-4A3062124F64}"/>
            </c:ext>
          </c:extLst>
        </c:ser>
        <c:ser>
          <c:idx val="4"/>
          <c:order val="2"/>
          <c:tx>
            <c:v>Q95Log</c:v>
          </c:tx>
          <c:spPr>
            <a:ln w="12700">
              <a:solidFill>
                <a:srgbClr val="FF00FF"/>
              </a:solidFill>
              <a:prstDash val="sysDash"/>
            </a:ln>
          </c:spPr>
          <c:marker>
            <c:symbol val="none"/>
          </c:marker>
          <c:xVal>
            <c:numRef>
              <c:f>Fluorid!$E$57:$E$58</c:f>
              <c:numCache>
                <c:formatCode>m/d/yyyy</c:formatCode>
                <c:ptCount val="2"/>
                <c:pt idx="0">
                  <c:v>36161</c:v>
                </c:pt>
                <c:pt idx="1">
                  <c:v>44196</c:v>
                </c:pt>
              </c:numCache>
            </c:numRef>
          </c:xVal>
          <c:yVal>
            <c:numRef>
              <c:f>Fluorid!$J$57:$J$58</c:f>
              <c:numCache>
                <c:formatCode>0.000</c:formatCode>
                <c:ptCount val="2"/>
                <c:pt idx="0">
                  <c:v>0</c:v>
                </c:pt>
                <c:pt idx="1">
                  <c:v>0</c:v>
                </c:pt>
              </c:numCache>
            </c:numRef>
          </c:yVal>
          <c:smooth val="0"/>
          <c:extLst>
            <c:ext xmlns:c16="http://schemas.microsoft.com/office/drawing/2014/chart" uri="{C3380CC4-5D6E-409C-BE32-E72D297353CC}">
              <c16:uniqueId val="{00000002-1002-4F92-A26A-4A3062124F64}"/>
            </c:ext>
          </c:extLst>
        </c:ser>
        <c:ser>
          <c:idx val="9"/>
          <c:order val="3"/>
          <c:tx>
            <c:v>vT</c:v>
          </c:tx>
          <c:spPr>
            <a:ln w="12700">
              <a:solidFill>
                <a:srgbClr val="808080"/>
              </a:solidFill>
              <a:prstDash val="sysDash"/>
            </a:ln>
          </c:spPr>
          <c:marker>
            <c:symbol val="none"/>
          </c:marker>
          <c:xVal>
            <c:numRef>
              <c:f>Fluorid!$G$122:$G$123</c:f>
              <c:numCache>
                <c:formatCode>d/m/yyyy;@</c:formatCode>
                <c:ptCount val="2"/>
                <c:pt idx="0">
                  <c:v>0</c:v>
                </c:pt>
                <c:pt idx="1">
                  <c:v>0</c:v>
                </c:pt>
              </c:numCache>
            </c:numRef>
          </c:xVal>
          <c:yVal>
            <c:numRef>
              <c:f>Fluorid!$I$122:$I$123</c:f>
              <c:numCache>
                <c:formatCode>General</c:formatCode>
                <c:ptCount val="2"/>
                <c:pt idx="0">
                  <c:v>0</c:v>
                </c:pt>
                <c:pt idx="1">
                  <c:v>0</c:v>
                </c:pt>
              </c:numCache>
            </c:numRef>
          </c:yVal>
          <c:smooth val="0"/>
          <c:extLst>
            <c:ext xmlns:c16="http://schemas.microsoft.com/office/drawing/2014/chart" uri="{C3380CC4-5D6E-409C-BE32-E72D297353CC}">
              <c16:uniqueId val="{00000003-1002-4F92-A26A-4A3062124F64}"/>
            </c:ext>
          </c:extLst>
        </c:ser>
        <c:ser>
          <c:idx val="10"/>
          <c:order val="4"/>
          <c:tx>
            <c:v>Trend</c:v>
          </c:tx>
          <c:spPr>
            <a:ln w="12700">
              <a:solidFill>
                <a:srgbClr val="808080"/>
              </a:solidFill>
              <a:prstDash val="solid"/>
            </a:ln>
          </c:spPr>
          <c:marker>
            <c:symbol val="none"/>
          </c:marker>
          <c:xVal>
            <c:numRef>
              <c:f>Fluorid!$G$122:$G$123</c:f>
              <c:numCache>
                <c:formatCode>d/m/yyyy;@</c:formatCode>
                <c:ptCount val="2"/>
                <c:pt idx="0">
                  <c:v>0</c:v>
                </c:pt>
                <c:pt idx="1">
                  <c:v>0</c:v>
                </c:pt>
              </c:numCache>
            </c:numRef>
          </c:xVal>
          <c:yVal>
            <c:numRef>
              <c:f>Fluorid!$J$122:$J$123</c:f>
              <c:numCache>
                <c:formatCode>General</c:formatCode>
                <c:ptCount val="2"/>
                <c:pt idx="0">
                  <c:v>0</c:v>
                </c:pt>
                <c:pt idx="1">
                  <c:v>0</c:v>
                </c:pt>
              </c:numCache>
            </c:numRef>
          </c:yVal>
          <c:smooth val="0"/>
          <c:extLst>
            <c:ext xmlns:c16="http://schemas.microsoft.com/office/drawing/2014/chart" uri="{C3380CC4-5D6E-409C-BE32-E72D297353CC}">
              <c16:uniqueId val="{00000004-1002-4F92-A26A-4A3062124F64}"/>
            </c:ext>
          </c:extLst>
        </c:ser>
        <c:ser>
          <c:idx val="2"/>
          <c:order val="5"/>
          <c:tx>
            <c:v>Q95u</c:v>
          </c:tx>
          <c:spPr>
            <a:ln w="12700">
              <a:solidFill>
                <a:srgbClr val="0000FF"/>
              </a:solidFill>
              <a:prstDash val="sysDash"/>
            </a:ln>
          </c:spPr>
          <c:marker>
            <c:symbol val="none"/>
          </c:marker>
          <c:xVal>
            <c:numRef>
              <c:f>Fluorid!$E$57:$E$58</c:f>
              <c:numCache>
                <c:formatCode>m/d/yyyy</c:formatCode>
                <c:ptCount val="2"/>
                <c:pt idx="0">
                  <c:v>36161</c:v>
                </c:pt>
                <c:pt idx="1">
                  <c:v>44196</c:v>
                </c:pt>
              </c:numCache>
            </c:numRef>
          </c:xVal>
          <c:yVal>
            <c:numRef>
              <c:f>Fluorid!$G$57:$G$58</c:f>
              <c:numCache>
                <c:formatCode>0.000</c:formatCode>
                <c:ptCount val="2"/>
                <c:pt idx="0">
                  <c:v>0</c:v>
                </c:pt>
                <c:pt idx="1">
                  <c:v>0</c:v>
                </c:pt>
              </c:numCache>
            </c:numRef>
          </c:yVal>
          <c:smooth val="0"/>
          <c:extLst>
            <c:ext xmlns:c16="http://schemas.microsoft.com/office/drawing/2014/chart" uri="{C3380CC4-5D6E-409C-BE32-E72D297353CC}">
              <c16:uniqueId val="{00000005-1002-4F92-A26A-4A3062124F64}"/>
            </c:ext>
          </c:extLst>
        </c:ser>
        <c:ser>
          <c:idx val="3"/>
          <c:order val="6"/>
          <c:tx>
            <c:v>Q98</c:v>
          </c:tx>
          <c:spPr>
            <a:ln w="12700">
              <a:solidFill>
                <a:srgbClr val="0000FF"/>
              </a:solidFill>
              <a:prstDash val="solid"/>
            </a:ln>
          </c:spPr>
          <c:marker>
            <c:symbol val="none"/>
          </c:marker>
          <c:xVal>
            <c:numRef>
              <c:f>Fluorid!$E$57:$E$58</c:f>
              <c:numCache>
                <c:formatCode>m/d/yyyy</c:formatCode>
                <c:ptCount val="2"/>
                <c:pt idx="0">
                  <c:v>36161</c:v>
                </c:pt>
                <c:pt idx="1">
                  <c:v>44196</c:v>
                </c:pt>
              </c:numCache>
            </c:numRef>
          </c:xVal>
          <c:yVal>
            <c:numRef>
              <c:f>Fluorid!$H$57:$H$58</c:f>
              <c:numCache>
                <c:formatCode>0.000</c:formatCode>
                <c:ptCount val="2"/>
                <c:pt idx="0">
                  <c:v>0</c:v>
                </c:pt>
                <c:pt idx="1">
                  <c:v>0</c:v>
                </c:pt>
              </c:numCache>
            </c:numRef>
          </c:yVal>
          <c:smooth val="0"/>
          <c:extLst>
            <c:ext xmlns:c16="http://schemas.microsoft.com/office/drawing/2014/chart" uri="{C3380CC4-5D6E-409C-BE32-E72D297353CC}">
              <c16:uniqueId val="{00000006-1002-4F92-A26A-4A3062124F64}"/>
            </c:ext>
          </c:extLst>
        </c:ser>
        <c:ser>
          <c:idx val="6"/>
          <c:order val="7"/>
          <c:tx>
            <c:v>Q98Log</c:v>
          </c:tx>
          <c:spPr>
            <a:ln w="12700">
              <a:solidFill>
                <a:srgbClr val="CC00FF"/>
              </a:solidFill>
            </a:ln>
          </c:spPr>
          <c:marker>
            <c:symbol val="none"/>
          </c:marker>
          <c:xVal>
            <c:numRef>
              <c:f>Fluorid!$E$57:$E$58</c:f>
              <c:numCache>
                <c:formatCode>m/d/yyyy</c:formatCode>
                <c:ptCount val="2"/>
                <c:pt idx="0">
                  <c:v>36161</c:v>
                </c:pt>
                <c:pt idx="1">
                  <c:v>44196</c:v>
                </c:pt>
              </c:numCache>
            </c:numRef>
          </c:xVal>
          <c:yVal>
            <c:numRef>
              <c:f>Fluorid!$K$57:$K$58</c:f>
              <c:numCache>
                <c:formatCode>0.000</c:formatCode>
                <c:ptCount val="2"/>
                <c:pt idx="0">
                  <c:v>0</c:v>
                </c:pt>
                <c:pt idx="1">
                  <c:v>0</c:v>
                </c:pt>
              </c:numCache>
            </c:numRef>
          </c:yVal>
          <c:smooth val="0"/>
          <c:extLst>
            <c:ext xmlns:c16="http://schemas.microsoft.com/office/drawing/2014/chart" uri="{C3380CC4-5D6E-409C-BE32-E72D297353CC}">
              <c16:uniqueId val="{00000007-1002-4F92-A26A-4A3062124F64}"/>
            </c:ext>
          </c:extLst>
        </c:ser>
        <c:dLbls>
          <c:showLegendKey val="0"/>
          <c:showVal val="0"/>
          <c:showCatName val="0"/>
          <c:showSerName val="0"/>
          <c:showPercent val="0"/>
          <c:showBubbleSize val="0"/>
        </c:dLbls>
        <c:axId val="154288896"/>
        <c:axId val="154290432"/>
      </c:scatterChart>
      <c:valAx>
        <c:axId val="154288896"/>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4290432"/>
        <c:crossesAt val="0"/>
        <c:crossBetween val="midCat"/>
        <c:majorUnit val="1461"/>
        <c:minorUnit val="365.25"/>
      </c:valAx>
      <c:valAx>
        <c:axId val="154290432"/>
        <c:scaling>
          <c:orientation val="minMax"/>
          <c:max val="3"/>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4288896"/>
        <c:crossesAt val="0"/>
        <c:crossBetween val="midCat"/>
        <c:majorUnit val="1"/>
        <c:minorUnit val="0.2"/>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'Cyanid, lfr'!$F$63:$F$113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'Cyanid, lfr'!$G$63:$G$113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09F1-419F-88BD-485B417F7CD8}"/>
            </c:ext>
          </c:extLst>
        </c:ser>
        <c:ser>
          <c:idx val="1"/>
          <c:order val="1"/>
          <c:tx>
            <c:v>LogNormalverteilung</c:v>
          </c:tx>
          <c:spPr>
            <a:ln w="25400">
              <a:solidFill>
                <a:srgbClr val="FF00FF"/>
              </a:solidFill>
              <a:prstDash val="solid"/>
            </a:ln>
          </c:spPr>
          <c:marker>
            <c:symbol val="none"/>
          </c:marker>
          <c:xVal>
            <c:numRef>
              <c:f>'Cyanid, lfr'!$I$63:$I$113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'Cyanid, lfr'!$J$63:$J$113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09F1-419F-88BD-485B417F7CD8}"/>
            </c:ext>
          </c:extLst>
        </c:ser>
        <c:ser>
          <c:idx val="2"/>
          <c:order val="2"/>
          <c:tx>
            <c:v>Histogramm</c:v>
          </c:tx>
          <c:spPr>
            <a:ln w="25400">
              <a:solidFill>
                <a:srgbClr val="969696"/>
              </a:solidFill>
              <a:prstDash val="lgDashDot"/>
            </a:ln>
          </c:spPr>
          <c:marker>
            <c:symbol val="none"/>
          </c:marker>
          <c:xVal>
            <c:numRef>
              <c:f>'Cyanid, lfr'!$T$46:$T$97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'Cyanid, lfr'!$U$46:$U$97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09F1-419F-88BD-485B417F7CD8}"/>
            </c:ext>
          </c:extLst>
        </c:ser>
        <c:ser>
          <c:idx val="3"/>
          <c:order val="3"/>
          <c:tx>
            <c:v>Q95 No</c:v>
          </c:tx>
          <c:spPr>
            <a:ln w="12700">
              <a:solidFill>
                <a:srgbClr val="0000FF"/>
              </a:solidFill>
              <a:prstDash val="sysDash"/>
            </a:ln>
          </c:spPr>
          <c:marker>
            <c:symbol val="none"/>
          </c:marker>
          <c:xVal>
            <c:numRef>
              <c:f>'Cyanid, lfr'!$U$3:$V$3</c:f>
              <c:numCache>
                <c:formatCode>0.000</c:formatCode>
                <c:ptCount val="2"/>
                <c:pt idx="0">
                  <c:v>0</c:v>
                </c:pt>
                <c:pt idx="1">
                  <c:v>0</c:v>
                </c:pt>
              </c:numCache>
            </c:numRef>
          </c:xVal>
          <c:yVal>
            <c:numRef>
              <c:f>'Cyanid, lfr'!$U$2:$V$2</c:f>
              <c:numCache>
                <c:formatCode>General</c:formatCode>
                <c:ptCount val="2"/>
                <c:pt idx="0">
                  <c:v>0</c:v>
                </c:pt>
                <c:pt idx="1">
                  <c:v>1000</c:v>
                </c:pt>
              </c:numCache>
            </c:numRef>
          </c:yVal>
          <c:smooth val="0"/>
          <c:extLst>
            <c:ext xmlns:c16="http://schemas.microsoft.com/office/drawing/2014/chart" uri="{C3380CC4-5D6E-409C-BE32-E72D297353CC}">
              <c16:uniqueId val="{00000003-09F1-419F-88BD-485B417F7CD8}"/>
            </c:ext>
          </c:extLst>
        </c:ser>
        <c:ser>
          <c:idx val="4"/>
          <c:order val="4"/>
          <c:tx>
            <c:v>Q95 Lo</c:v>
          </c:tx>
          <c:spPr>
            <a:ln w="12700">
              <a:solidFill>
                <a:srgbClr val="FF00FF"/>
              </a:solidFill>
              <a:prstDash val="sysDash"/>
            </a:ln>
          </c:spPr>
          <c:marker>
            <c:symbol val="none"/>
          </c:marker>
          <c:xVal>
            <c:numRef>
              <c:f>'Cyanid, lfr'!$U$4:$V$4</c:f>
              <c:numCache>
                <c:formatCode>0.000</c:formatCode>
                <c:ptCount val="2"/>
                <c:pt idx="0">
                  <c:v>0</c:v>
                </c:pt>
                <c:pt idx="1">
                  <c:v>0</c:v>
                </c:pt>
              </c:numCache>
            </c:numRef>
          </c:xVal>
          <c:yVal>
            <c:numRef>
              <c:f>'Cyanid, lfr'!$U$2:$V$2</c:f>
              <c:numCache>
                <c:formatCode>General</c:formatCode>
                <c:ptCount val="2"/>
                <c:pt idx="0">
                  <c:v>0</c:v>
                </c:pt>
                <c:pt idx="1">
                  <c:v>1000</c:v>
                </c:pt>
              </c:numCache>
            </c:numRef>
          </c:yVal>
          <c:smooth val="0"/>
          <c:extLst>
            <c:ext xmlns:c16="http://schemas.microsoft.com/office/drawing/2014/chart" uri="{C3380CC4-5D6E-409C-BE32-E72D297353CC}">
              <c16:uniqueId val="{00000004-09F1-419F-88BD-485B417F7CD8}"/>
            </c:ext>
          </c:extLst>
        </c:ser>
        <c:ser>
          <c:idx val="5"/>
          <c:order val="5"/>
          <c:tx>
            <c:v>Q98 No</c:v>
          </c:tx>
          <c:spPr>
            <a:ln w="12700">
              <a:solidFill>
                <a:srgbClr val="0000FF"/>
              </a:solidFill>
              <a:prstDash val="solid"/>
            </a:ln>
          </c:spPr>
          <c:marker>
            <c:symbol val="none"/>
          </c:marker>
          <c:xVal>
            <c:numRef>
              <c:f>'Cyanid, lfr'!$U$5:$V$5</c:f>
              <c:numCache>
                <c:formatCode>0.000</c:formatCode>
                <c:ptCount val="2"/>
                <c:pt idx="0">
                  <c:v>0</c:v>
                </c:pt>
                <c:pt idx="1">
                  <c:v>0</c:v>
                </c:pt>
              </c:numCache>
            </c:numRef>
          </c:xVal>
          <c:yVal>
            <c:numRef>
              <c:f>'Cyanid, lfr'!$U$2:$V$2</c:f>
              <c:numCache>
                <c:formatCode>General</c:formatCode>
                <c:ptCount val="2"/>
                <c:pt idx="0">
                  <c:v>0</c:v>
                </c:pt>
                <c:pt idx="1">
                  <c:v>1000</c:v>
                </c:pt>
              </c:numCache>
            </c:numRef>
          </c:yVal>
          <c:smooth val="0"/>
          <c:extLst>
            <c:ext xmlns:c16="http://schemas.microsoft.com/office/drawing/2014/chart" uri="{C3380CC4-5D6E-409C-BE32-E72D297353CC}">
              <c16:uniqueId val="{00000005-09F1-419F-88BD-485B417F7CD8}"/>
            </c:ext>
          </c:extLst>
        </c:ser>
        <c:ser>
          <c:idx val="6"/>
          <c:order val="6"/>
          <c:tx>
            <c:v>Q98 Lo</c:v>
          </c:tx>
          <c:spPr>
            <a:ln w="12700">
              <a:solidFill>
                <a:srgbClr val="FF00FF"/>
              </a:solidFill>
              <a:prstDash val="solid"/>
            </a:ln>
          </c:spPr>
          <c:marker>
            <c:symbol val="none"/>
          </c:marker>
          <c:xVal>
            <c:numRef>
              <c:f>'Cyanid, lfr'!$U$6:$V$6</c:f>
              <c:numCache>
                <c:formatCode>0.000</c:formatCode>
                <c:ptCount val="2"/>
                <c:pt idx="0">
                  <c:v>0</c:v>
                </c:pt>
                <c:pt idx="1">
                  <c:v>0</c:v>
                </c:pt>
              </c:numCache>
            </c:numRef>
          </c:xVal>
          <c:yVal>
            <c:numRef>
              <c:f>'Cyanid, lfr'!$U$2:$V$2</c:f>
              <c:numCache>
                <c:formatCode>General</c:formatCode>
                <c:ptCount val="2"/>
                <c:pt idx="0">
                  <c:v>0</c:v>
                </c:pt>
                <c:pt idx="1">
                  <c:v>1000</c:v>
                </c:pt>
              </c:numCache>
            </c:numRef>
          </c:yVal>
          <c:smooth val="0"/>
          <c:extLst>
            <c:ext xmlns:c16="http://schemas.microsoft.com/office/drawing/2014/chart" uri="{C3380CC4-5D6E-409C-BE32-E72D297353CC}">
              <c16:uniqueId val="{00000006-09F1-419F-88BD-485B417F7CD8}"/>
            </c:ext>
          </c:extLst>
        </c:ser>
        <c:ser>
          <c:idx val="7"/>
          <c:order val="7"/>
          <c:tx>
            <c:v>Q95u</c:v>
          </c:tx>
          <c:spPr>
            <a:ln w="12700">
              <a:solidFill>
                <a:srgbClr val="0000FF"/>
              </a:solidFill>
              <a:prstDash val="sysDash"/>
            </a:ln>
          </c:spPr>
          <c:marker>
            <c:symbol val="none"/>
          </c:marker>
          <c:xVal>
            <c:numRef>
              <c:f>'Cyanid, lfr'!$U$7:$V$7</c:f>
              <c:numCache>
                <c:formatCode>0.000</c:formatCode>
                <c:ptCount val="2"/>
                <c:pt idx="0">
                  <c:v>0</c:v>
                </c:pt>
                <c:pt idx="1">
                  <c:v>0</c:v>
                </c:pt>
              </c:numCache>
            </c:numRef>
          </c:xVal>
          <c:yVal>
            <c:numRef>
              <c:f>'Cyanid, lfr'!$U$2:$V$2</c:f>
              <c:numCache>
                <c:formatCode>General</c:formatCode>
                <c:ptCount val="2"/>
                <c:pt idx="0">
                  <c:v>0</c:v>
                </c:pt>
                <c:pt idx="1">
                  <c:v>1000</c:v>
                </c:pt>
              </c:numCache>
            </c:numRef>
          </c:yVal>
          <c:smooth val="0"/>
          <c:extLst>
            <c:ext xmlns:c16="http://schemas.microsoft.com/office/drawing/2014/chart" uri="{C3380CC4-5D6E-409C-BE32-E72D297353CC}">
              <c16:uniqueId val="{00000007-09F1-419F-88BD-485B417F7CD8}"/>
            </c:ext>
          </c:extLst>
        </c:ser>
        <c:ser>
          <c:idx val="8"/>
          <c:order val="8"/>
          <c:tx>
            <c:v>Q95u Lo</c:v>
          </c:tx>
          <c:spPr>
            <a:ln w="12700">
              <a:solidFill>
                <a:srgbClr val="FF00FF"/>
              </a:solidFill>
              <a:prstDash val="sysDash"/>
            </a:ln>
          </c:spPr>
          <c:marker>
            <c:symbol val="none"/>
          </c:marker>
          <c:xVal>
            <c:numRef>
              <c:f>'Cyanid, lfr'!$U$8:$V$8</c:f>
              <c:numCache>
                <c:formatCode>0.000</c:formatCode>
                <c:ptCount val="2"/>
                <c:pt idx="0">
                  <c:v>0</c:v>
                </c:pt>
                <c:pt idx="1">
                  <c:v>0</c:v>
                </c:pt>
              </c:numCache>
            </c:numRef>
          </c:xVal>
          <c:yVal>
            <c:numRef>
              <c:f>'Cyanid, lfr'!$U$2:$V$2</c:f>
              <c:numCache>
                <c:formatCode>General</c:formatCode>
                <c:ptCount val="2"/>
                <c:pt idx="0">
                  <c:v>0</c:v>
                </c:pt>
                <c:pt idx="1">
                  <c:v>1000</c:v>
                </c:pt>
              </c:numCache>
            </c:numRef>
          </c:yVal>
          <c:smooth val="0"/>
          <c:extLst>
            <c:ext xmlns:c16="http://schemas.microsoft.com/office/drawing/2014/chart" uri="{C3380CC4-5D6E-409C-BE32-E72D297353CC}">
              <c16:uniqueId val="{00000008-09F1-419F-88BD-485B417F7CD8}"/>
            </c:ext>
          </c:extLst>
        </c:ser>
        <c:ser>
          <c:idx val="9"/>
          <c:order val="9"/>
          <c:tx>
            <c:v>Median</c:v>
          </c:tx>
          <c:spPr>
            <a:ln w="12700">
              <a:solidFill>
                <a:srgbClr val="969696"/>
              </a:solidFill>
              <a:prstDash val="lgDashDotDot"/>
            </a:ln>
          </c:spPr>
          <c:marker>
            <c:symbol val="none"/>
          </c:marker>
          <c:xVal>
            <c:numRef>
              <c:f>'Cyanid, lfr'!$U$11:$V$11</c:f>
              <c:numCache>
                <c:formatCode>0.000</c:formatCode>
                <c:ptCount val="2"/>
                <c:pt idx="0">
                  <c:v>0</c:v>
                </c:pt>
                <c:pt idx="1">
                  <c:v>0</c:v>
                </c:pt>
              </c:numCache>
            </c:numRef>
          </c:xVal>
          <c:yVal>
            <c:numRef>
              <c:f>'Cyanid, lfr'!$U$2:$V$2</c:f>
              <c:numCache>
                <c:formatCode>General</c:formatCode>
                <c:ptCount val="2"/>
                <c:pt idx="0">
                  <c:v>0</c:v>
                </c:pt>
                <c:pt idx="1">
                  <c:v>1000</c:v>
                </c:pt>
              </c:numCache>
            </c:numRef>
          </c:yVal>
          <c:smooth val="0"/>
          <c:extLst>
            <c:ext xmlns:c16="http://schemas.microsoft.com/office/drawing/2014/chart" uri="{C3380CC4-5D6E-409C-BE32-E72D297353CC}">
              <c16:uniqueId val="{00000009-09F1-419F-88BD-485B417F7CD8}"/>
            </c:ext>
          </c:extLst>
        </c:ser>
        <c:dLbls>
          <c:showLegendKey val="0"/>
          <c:showVal val="0"/>
          <c:showCatName val="0"/>
          <c:showSerName val="0"/>
          <c:showPercent val="0"/>
          <c:showBubbleSize val="0"/>
        </c:dLbls>
        <c:axId val="154320896"/>
        <c:axId val="154322432"/>
      </c:scatterChart>
      <c:valAx>
        <c:axId val="154320896"/>
        <c:scaling>
          <c:orientation val="minMax"/>
          <c:max val="0.15000000000000002"/>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4322432"/>
        <c:crosses val="autoZero"/>
        <c:crossBetween val="midCat"/>
        <c:majorUnit val="5.000000000000001E-2"/>
        <c:minorUnit val="1.0000000000000002E-2"/>
      </c:valAx>
      <c:valAx>
        <c:axId val="154322432"/>
        <c:scaling>
          <c:orientation val="minMax"/>
          <c:max val="5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4320896"/>
        <c:crosses val="autoZero"/>
        <c:crossBetween val="midCat"/>
        <c:majorUnit val="10"/>
        <c:minorUnit val="5"/>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'Cyanid, lfr'!$M$3:$M$252</c:f>
              <c:numCache>
                <c:formatCode>d/m/yyyy;@</c:formatCode>
                <c:ptCount val="250"/>
              </c:numCache>
            </c:numRef>
          </c:xVal>
          <c:yVal>
            <c:numRef>
              <c:f>'Cyanid, lfr'!$N$3:$N$252</c:f>
              <c:numCache>
                <c:formatCode>General</c:formatCode>
                <c:ptCount val="250"/>
              </c:numCache>
            </c:numRef>
          </c:yVal>
          <c:smooth val="0"/>
          <c:extLst>
            <c:ext xmlns:c16="http://schemas.microsoft.com/office/drawing/2014/chart" uri="{C3380CC4-5D6E-409C-BE32-E72D297353CC}">
              <c16:uniqueId val="{00000000-B18A-4238-B584-54BBB7F54F80}"/>
            </c:ext>
          </c:extLst>
        </c:ser>
        <c:ser>
          <c:idx val="1"/>
          <c:order val="1"/>
          <c:tx>
            <c:v>Q95</c:v>
          </c:tx>
          <c:spPr>
            <a:ln w="12700">
              <a:solidFill>
                <a:srgbClr val="0000FF"/>
              </a:solidFill>
              <a:prstDash val="sysDash"/>
            </a:ln>
          </c:spPr>
          <c:marker>
            <c:symbol val="none"/>
          </c:marker>
          <c:xVal>
            <c:numRef>
              <c:f>'Cyanid, lfr'!$E$57:$E$58</c:f>
              <c:numCache>
                <c:formatCode>m/d/yyyy</c:formatCode>
                <c:ptCount val="2"/>
                <c:pt idx="0">
                  <c:v>1</c:v>
                </c:pt>
                <c:pt idx="1">
                  <c:v>51501</c:v>
                </c:pt>
              </c:numCache>
            </c:numRef>
          </c:xVal>
          <c:yVal>
            <c:numRef>
              <c:f>'Cyanid, lfr'!$F$57:$F$58</c:f>
              <c:numCache>
                <c:formatCode>0.000</c:formatCode>
                <c:ptCount val="2"/>
                <c:pt idx="0">
                  <c:v>0</c:v>
                </c:pt>
                <c:pt idx="1">
                  <c:v>0</c:v>
                </c:pt>
              </c:numCache>
            </c:numRef>
          </c:yVal>
          <c:smooth val="0"/>
          <c:extLst>
            <c:ext xmlns:c16="http://schemas.microsoft.com/office/drawing/2014/chart" uri="{C3380CC4-5D6E-409C-BE32-E72D297353CC}">
              <c16:uniqueId val="{00000001-B18A-4238-B584-54BBB7F54F80}"/>
            </c:ext>
          </c:extLst>
        </c:ser>
        <c:ser>
          <c:idx val="4"/>
          <c:order val="2"/>
          <c:tx>
            <c:v>Q95Log</c:v>
          </c:tx>
          <c:spPr>
            <a:ln w="12700">
              <a:solidFill>
                <a:srgbClr val="FF00FF"/>
              </a:solidFill>
              <a:prstDash val="sysDash"/>
            </a:ln>
          </c:spPr>
          <c:marker>
            <c:symbol val="none"/>
          </c:marker>
          <c:xVal>
            <c:numRef>
              <c:f>'Cyanid, lfr'!$E$57:$E$58</c:f>
              <c:numCache>
                <c:formatCode>m/d/yyyy</c:formatCode>
                <c:ptCount val="2"/>
                <c:pt idx="0">
                  <c:v>1</c:v>
                </c:pt>
                <c:pt idx="1">
                  <c:v>51501</c:v>
                </c:pt>
              </c:numCache>
            </c:numRef>
          </c:xVal>
          <c:yVal>
            <c:numRef>
              <c:f>'Cyanid, lfr'!$J$57:$J$58</c:f>
              <c:numCache>
                <c:formatCode>0.000</c:formatCode>
                <c:ptCount val="2"/>
                <c:pt idx="0">
                  <c:v>0</c:v>
                </c:pt>
                <c:pt idx="1">
                  <c:v>0</c:v>
                </c:pt>
              </c:numCache>
            </c:numRef>
          </c:yVal>
          <c:smooth val="0"/>
          <c:extLst>
            <c:ext xmlns:c16="http://schemas.microsoft.com/office/drawing/2014/chart" uri="{C3380CC4-5D6E-409C-BE32-E72D297353CC}">
              <c16:uniqueId val="{00000002-B18A-4238-B584-54BBB7F54F80}"/>
            </c:ext>
          </c:extLst>
        </c:ser>
        <c:ser>
          <c:idx val="9"/>
          <c:order val="3"/>
          <c:tx>
            <c:v>vT</c:v>
          </c:tx>
          <c:spPr>
            <a:ln w="12700">
              <a:solidFill>
                <a:srgbClr val="808080"/>
              </a:solidFill>
              <a:prstDash val="sysDash"/>
            </a:ln>
          </c:spPr>
          <c:marker>
            <c:symbol val="none"/>
          </c:marker>
          <c:xVal>
            <c:numRef>
              <c:f>'Cyanid, lfr'!$G$122:$G$123</c:f>
              <c:numCache>
                <c:formatCode>d/m/yyyy;@</c:formatCode>
                <c:ptCount val="2"/>
                <c:pt idx="0">
                  <c:v>0</c:v>
                </c:pt>
                <c:pt idx="1">
                  <c:v>0</c:v>
                </c:pt>
              </c:numCache>
            </c:numRef>
          </c:xVal>
          <c:yVal>
            <c:numRef>
              <c:f>'Cyanid, lfr'!$I$122:$I$123</c:f>
              <c:numCache>
                <c:formatCode>General</c:formatCode>
                <c:ptCount val="2"/>
                <c:pt idx="0">
                  <c:v>0</c:v>
                </c:pt>
                <c:pt idx="1">
                  <c:v>0</c:v>
                </c:pt>
              </c:numCache>
            </c:numRef>
          </c:yVal>
          <c:smooth val="0"/>
          <c:extLst>
            <c:ext xmlns:c16="http://schemas.microsoft.com/office/drawing/2014/chart" uri="{C3380CC4-5D6E-409C-BE32-E72D297353CC}">
              <c16:uniqueId val="{00000003-B18A-4238-B584-54BBB7F54F80}"/>
            </c:ext>
          </c:extLst>
        </c:ser>
        <c:ser>
          <c:idx val="10"/>
          <c:order val="4"/>
          <c:tx>
            <c:v>Trend</c:v>
          </c:tx>
          <c:spPr>
            <a:ln w="12700">
              <a:solidFill>
                <a:srgbClr val="808080"/>
              </a:solidFill>
              <a:prstDash val="solid"/>
            </a:ln>
          </c:spPr>
          <c:marker>
            <c:symbol val="none"/>
          </c:marker>
          <c:xVal>
            <c:numRef>
              <c:f>'Cyanid, lfr'!$G$122:$G$123</c:f>
              <c:numCache>
                <c:formatCode>d/m/yyyy;@</c:formatCode>
                <c:ptCount val="2"/>
                <c:pt idx="0">
                  <c:v>0</c:v>
                </c:pt>
                <c:pt idx="1">
                  <c:v>0</c:v>
                </c:pt>
              </c:numCache>
            </c:numRef>
          </c:xVal>
          <c:yVal>
            <c:numRef>
              <c:f>'Cyanid, lfr'!$J$122:$J$123</c:f>
              <c:numCache>
                <c:formatCode>General</c:formatCode>
                <c:ptCount val="2"/>
                <c:pt idx="0">
                  <c:v>0</c:v>
                </c:pt>
                <c:pt idx="1">
                  <c:v>0</c:v>
                </c:pt>
              </c:numCache>
            </c:numRef>
          </c:yVal>
          <c:smooth val="0"/>
          <c:extLst>
            <c:ext xmlns:c16="http://schemas.microsoft.com/office/drawing/2014/chart" uri="{C3380CC4-5D6E-409C-BE32-E72D297353CC}">
              <c16:uniqueId val="{00000004-B18A-4238-B584-54BBB7F54F80}"/>
            </c:ext>
          </c:extLst>
        </c:ser>
        <c:ser>
          <c:idx val="2"/>
          <c:order val="5"/>
          <c:tx>
            <c:v>Q95u</c:v>
          </c:tx>
          <c:spPr>
            <a:ln w="12700">
              <a:solidFill>
                <a:srgbClr val="0000FF"/>
              </a:solidFill>
              <a:prstDash val="sysDash"/>
            </a:ln>
          </c:spPr>
          <c:marker>
            <c:symbol val="none"/>
          </c:marker>
          <c:xVal>
            <c:numRef>
              <c:f>'Cyanid, lfr'!$E$57:$E$58</c:f>
              <c:numCache>
                <c:formatCode>m/d/yyyy</c:formatCode>
                <c:ptCount val="2"/>
                <c:pt idx="0">
                  <c:v>1</c:v>
                </c:pt>
                <c:pt idx="1">
                  <c:v>51501</c:v>
                </c:pt>
              </c:numCache>
            </c:numRef>
          </c:xVal>
          <c:yVal>
            <c:numRef>
              <c:f>'Cyanid, lfr'!$G$57:$G$58</c:f>
              <c:numCache>
                <c:formatCode>0.000</c:formatCode>
                <c:ptCount val="2"/>
                <c:pt idx="0">
                  <c:v>0</c:v>
                </c:pt>
                <c:pt idx="1">
                  <c:v>0</c:v>
                </c:pt>
              </c:numCache>
            </c:numRef>
          </c:yVal>
          <c:smooth val="0"/>
          <c:extLst>
            <c:ext xmlns:c16="http://schemas.microsoft.com/office/drawing/2014/chart" uri="{C3380CC4-5D6E-409C-BE32-E72D297353CC}">
              <c16:uniqueId val="{00000005-B18A-4238-B584-54BBB7F54F80}"/>
            </c:ext>
          </c:extLst>
        </c:ser>
        <c:ser>
          <c:idx val="3"/>
          <c:order val="6"/>
          <c:tx>
            <c:v>Q98</c:v>
          </c:tx>
          <c:spPr>
            <a:ln w="12700">
              <a:solidFill>
                <a:srgbClr val="0000FF"/>
              </a:solidFill>
              <a:prstDash val="solid"/>
            </a:ln>
          </c:spPr>
          <c:marker>
            <c:symbol val="none"/>
          </c:marker>
          <c:xVal>
            <c:numRef>
              <c:f>'Cyanid, lfr'!$E$57:$E$58</c:f>
              <c:numCache>
                <c:formatCode>m/d/yyyy</c:formatCode>
                <c:ptCount val="2"/>
                <c:pt idx="0">
                  <c:v>1</c:v>
                </c:pt>
                <c:pt idx="1">
                  <c:v>51501</c:v>
                </c:pt>
              </c:numCache>
            </c:numRef>
          </c:xVal>
          <c:yVal>
            <c:numRef>
              <c:f>'Cyanid, lfr'!$H$57:$H$58</c:f>
              <c:numCache>
                <c:formatCode>0.000</c:formatCode>
                <c:ptCount val="2"/>
                <c:pt idx="0">
                  <c:v>0</c:v>
                </c:pt>
                <c:pt idx="1">
                  <c:v>0</c:v>
                </c:pt>
              </c:numCache>
            </c:numRef>
          </c:yVal>
          <c:smooth val="0"/>
          <c:extLst>
            <c:ext xmlns:c16="http://schemas.microsoft.com/office/drawing/2014/chart" uri="{C3380CC4-5D6E-409C-BE32-E72D297353CC}">
              <c16:uniqueId val="{00000006-B18A-4238-B584-54BBB7F54F80}"/>
            </c:ext>
          </c:extLst>
        </c:ser>
        <c:ser>
          <c:idx val="6"/>
          <c:order val="7"/>
          <c:tx>
            <c:v>Q98Log</c:v>
          </c:tx>
          <c:spPr>
            <a:ln w="12700">
              <a:solidFill>
                <a:srgbClr val="CC00FF"/>
              </a:solidFill>
            </a:ln>
          </c:spPr>
          <c:marker>
            <c:symbol val="none"/>
          </c:marker>
          <c:xVal>
            <c:numRef>
              <c:f>'Cyanid, lfr'!$E$57:$E$58</c:f>
              <c:numCache>
                <c:formatCode>m/d/yyyy</c:formatCode>
                <c:ptCount val="2"/>
                <c:pt idx="0">
                  <c:v>1</c:v>
                </c:pt>
                <c:pt idx="1">
                  <c:v>51501</c:v>
                </c:pt>
              </c:numCache>
            </c:numRef>
          </c:xVal>
          <c:yVal>
            <c:numRef>
              <c:f>'Cyanid, lfr'!$K$57:$K$58</c:f>
              <c:numCache>
                <c:formatCode>0.000</c:formatCode>
                <c:ptCount val="2"/>
                <c:pt idx="0">
                  <c:v>0</c:v>
                </c:pt>
                <c:pt idx="1">
                  <c:v>0</c:v>
                </c:pt>
              </c:numCache>
            </c:numRef>
          </c:yVal>
          <c:smooth val="0"/>
          <c:extLst>
            <c:ext xmlns:c16="http://schemas.microsoft.com/office/drawing/2014/chart" uri="{C3380CC4-5D6E-409C-BE32-E72D297353CC}">
              <c16:uniqueId val="{00000007-B18A-4238-B584-54BBB7F54F80}"/>
            </c:ext>
          </c:extLst>
        </c:ser>
        <c:dLbls>
          <c:showLegendKey val="0"/>
          <c:showVal val="0"/>
          <c:showCatName val="0"/>
          <c:showSerName val="0"/>
          <c:showPercent val="0"/>
          <c:showBubbleSize val="0"/>
        </c:dLbls>
        <c:axId val="153909504"/>
        <c:axId val="153915392"/>
      </c:scatterChart>
      <c:valAx>
        <c:axId val="153909504"/>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3915392"/>
        <c:crossesAt val="0"/>
        <c:crossBetween val="midCat"/>
        <c:majorUnit val="1461"/>
        <c:minorUnit val="365.25"/>
      </c:valAx>
      <c:valAx>
        <c:axId val="153915392"/>
        <c:scaling>
          <c:orientation val="minMax"/>
          <c:max val="0.1"/>
          <c:min val="0"/>
        </c:scaling>
        <c:delete val="0"/>
        <c:axPos val="l"/>
        <c:numFmt formatCode="#,##0.000" sourceLinked="0"/>
        <c:majorTickMark val="out"/>
        <c:minorTickMark val="in"/>
        <c:tickLblPos val="nextTo"/>
        <c:spPr>
          <a:ln w="3175">
            <a:solidFill>
              <a:srgbClr val="000000"/>
            </a:solidFill>
            <a:prstDash val="solid"/>
          </a:ln>
        </c:spPr>
        <c:txPr>
          <a:bodyPr rot="0" vert="horz"/>
          <a:lstStyle/>
          <a:p>
            <a:pPr>
              <a:defRPr sz="1100"/>
            </a:pPr>
            <a:endParaRPr lang="de-DE"/>
          </a:p>
        </c:txPr>
        <c:crossAx val="153909504"/>
        <c:crossesAt val="0"/>
        <c:crossBetween val="midCat"/>
        <c:majorUnit val="5.000000000000001E-2"/>
        <c:minorUnit val="1.0000000000000002E-2"/>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Cyanid!$F$63:$F$113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Cyanid!$G$63:$G$113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50F5-4DD1-9E06-239E433406C5}"/>
            </c:ext>
          </c:extLst>
        </c:ser>
        <c:ser>
          <c:idx val="1"/>
          <c:order val="1"/>
          <c:tx>
            <c:v>LogNormalverteilung</c:v>
          </c:tx>
          <c:spPr>
            <a:ln w="25400">
              <a:solidFill>
                <a:srgbClr val="FF00FF"/>
              </a:solidFill>
              <a:prstDash val="solid"/>
            </a:ln>
          </c:spPr>
          <c:marker>
            <c:symbol val="none"/>
          </c:marker>
          <c:xVal>
            <c:numRef>
              <c:f>Cyanid!$I$63:$I$113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Cyanid!$J$63:$J$113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50F5-4DD1-9E06-239E433406C5}"/>
            </c:ext>
          </c:extLst>
        </c:ser>
        <c:ser>
          <c:idx val="2"/>
          <c:order val="2"/>
          <c:tx>
            <c:v>Histogramm</c:v>
          </c:tx>
          <c:spPr>
            <a:ln w="25400">
              <a:solidFill>
                <a:srgbClr val="969696"/>
              </a:solidFill>
              <a:prstDash val="lgDashDot"/>
            </a:ln>
          </c:spPr>
          <c:marker>
            <c:symbol val="none"/>
          </c:marker>
          <c:xVal>
            <c:numRef>
              <c:f>Cyanid!$T$46:$T$97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Cyanid!$U$46:$U$97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50F5-4DD1-9E06-239E433406C5}"/>
            </c:ext>
          </c:extLst>
        </c:ser>
        <c:ser>
          <c:idx val="3"/>
          <c:order val="3"/>
          <c:tx>
            <c:v>Q95 No</c:v>
          </c:tx>
          <c:spPr>
            <a:ln w="12700">
              <a:solidFill>
                <a:srgbClr val="0000FF"/>
              </a:solidFill>
              <a:prstDash val="sysDash"/>
            </a:ln>
          </c:spPr>
          <c:marker>
            <c:symbol val="none"/>
          </c:marker>
          <c:xVal>
            <c:numRef>
              <c:f>Cyanid!$U$3:$V$3</c:f>
              <c:numCache>
                <c:formatCode>0.000</c:formatCode>
                <c:ptCount val="2"/>
                <c:pt idx="0">
                  <c:v>0</c:v>
                </c:pt>
                <c:pt idx="1">
                  <c:v>0</c:v>
                </c:pt>
              </c:numCache>
            </c:numRef>
          </c:xVal>
          <c:yVal>
            <c:numRef>
              <c:f>Cyanid!$U$2:$V$2</c:f>
              <c:numCache>
                <c:formatCode>General</c:formatCode>
                <c:ptCount val="2"/>
                <c:pt idx="0">
                  <c:v>0</c:v>
                </c:pt>
                <c:pt idx="1">
                  <c:v>1000</c:v>
                </c:pt>
              </c:numCache>
            </c:numRef>
          </c:yVal>
          <c:smooth val="0"/>
          <c:extLst>
            <c:ext xmlns:c16="http://schemas.microsoft.com/office/drawing/2014/chart" uri="{C3380CC4-5D6E-409C-BE32-E72D297353CC}">
              <c16:uniqueId val="{00000003-50F5-4DD1-9E06-239E433406C5}"/>
            </c:ext>
          </c:extLst>
        </c:ser>
        <c:ser>
          <c:idx val="4"/>
          <c:order val="4"/>
          <c:tx>
            <c:v>Q95 Lo</c:v>
          </c:tx>
          <c:spPr>
            <a:ln w="12700">
              <a:solidFill>
                <a:srgbClr val="FF00FF"/>
              </a:solidFill>
              <a:prstDash val="sysDash"/>
            </a:ln>
          </c:spPr>
          <c:marker>
            <c:symbol val="none"/>
          </c:marker>
          <c:xVal>
            <c:numRef>
              <c:f>Cyanid!$U$4:$V$4</c:f>
              <c:numCache>
                <c:formatCode>0.000</c:formatCode>
                <c:ptCount val="2"/>
                <c:pt idx="0">
                  <c:v>0</c:v>
                </c:pt>
                <c:pt idx="1">
                  <c:v>0</c:v>
                </c:pt>
              </c:numCache>
            </c:numRef>
          </c:xVal>
          <c:yVal>
            <c:numRef>
              <c:f>Cyanid!$U$2:$V$2</c:f>
              <c:numCache>
                <c:formatCode>General</c:formatCode>
                <c:ptCount val="2"/>
                <c:pt idx="0">
                  <c:v>0</c:v>
                </c:pt>
                <c:pt idx="1">
                  <c:v>1000</c:v>
                </c:pt>
              </c:numCache>
            </c:numRef>
          </c:yVal>
          <c:smooth val="0"/>
          <c:extLst>
            <c:ext xmlns:c16="http://schemas.microsoft.com/office/drawing/2014/chart" uri="{C3380CC4-5D6E-409C-BE32-E72D297353CC}">
              <c16:uniqueId val="{00000004-50F5-4DD1-9E06-239E433406C5}"/>
            </c:ext>
          </c:extLst>
        </c:ser>
        <c:ser>
          <c:idx val="5"/>
          <c:order val="5"/>
          <c:tx>
            <c:v>Q98 No</c:v>
          </c:tx>
          <c:spPr>
            <a:ln w="12700">
              <a:solidFill>
                <a:srgbClr val="0000FF"/>
              </a:solidFill>
              <a:prstDash val="solid"/>
            </a:ln>
          </c:spPr>
          <c:marker>
            <c:symbol val="none"/>
          </c:marker>
          <c:xVal>
            <c:numRef>
              <c:f>Cyanid!$U$5:$V$5</c:f>
              <c:numCache>
                <c:formatCode>0.000</c:formatCode>
                <c:ptCount val="2"/>
                <c:pt idx="0">
                  <c:v>0</c:v>
                </c:pt>
                <c:pt idx="1">
                  <c:v>0</c:v>
                </c:pt>
              </c:numCache>
            </c:numRef>
          </c:xVal>
          <c:yVal>
            <c:numRef>
              <c:f>Cyanid!$U$2:$V$2</c:f>
              <c:numCache>
                <c:formatCode>General</c:formatCode>
                <c:ptCount val="2"/>
                <c:pt idx="0">
                  <c:v>0</c:v>
                </c:pt>
                <c:pt idx="1">
                  <c:v>1000</c:v>
                </c:pt>
              </c:numCache>
            </c:numRef>
          </c:yVal>
          <c:smooth val="0"/>
          <c:extLst>
            <c:ext xmlns:c16="http://schemas.microsoft.com/office/drawing/2014/chart" uri="{C3380CC4-5D6E-409C-BE32-E72D297353CC}">
              <c16:uniqueId val="{00000005-50F5-4DD1-9E06-239E433406C5}"/>
            </c:ext>
          </c:extLst>
        </c:ser>
        <c:ser>
          <c:idx val="6"/>
          <c:order val="6"/>
          <c:tx>
            <c:v>Q98 Lo</c:v>
          </c:tx>
          <c:spPr>
            <a:ln w="12700">
              <a:solidFill>
                <a:srgbClr val="FF00FF"/>
              </a:solidFill>
              <a:prstDash val="solid"/>
            </a:ln>
          </c:spPr>
          <c:marker>
            <c:symbol val="none"/>
          </c:marker>
          <c:xVal>
            <c:numRef>
              <c:f>Cyanid!$U$6:$V$6</c:f>
              <c:numCache>
                <c:formatCode>0.000</c:formatCode>
                <c:ptCount val="2"/>
                <c:pt idx="0">
                  <c:v>0</c:v>
                </c:pt>
                <c:pt idx="1">
                  <c:v>0</c:v>
                </c:pt>
              </c:numCache>
            </c:numRef>
          </c:xVal>
          <c:yVal>
            <c:numRef>
              <c:f>Cyanid!$U$2:$V$2</c:f>
              <c:numCache>
                <c:formatCode>General</c:formatCode>
                <c:ptCount val="2"/>
                <c:pt idx="0">
                  <c:v>0</c:v>
                </c:pt>
                <c:pt idx="1">
                  <c:v>1000</c:v>
                </c:pt>
              </c:numCache>
            </c:numRef>
          </c:yVal>
          <c:smooth val="0"/>
          <c:extLst>
            <c:ext xmlns:c16="http://schemas.microsoft.com/office/drawing/2014/chart" uri="{C3380CC4-5D6E-409C-BE32-E72D297353CC}">
              <c16:uniqueId val="{00000006-50F5-4DD1-9E06-239E433406C5}"/>
            </c:ext>
          </c:extLst>
        </c:ser>
        <c:ser>
          <c:idx val="7"/>
          <c:order val="7"/>
          <c:tx>
            <c:v>Q95u</c:v>
          </c:tx>
          <c:spPr>
            <a:ln w="12700">
              <a:solidFill>
                <a:srgbClr val="0000FF"/>
              </a:solidFill>
              <a:prstDash val="sysDash"/>
            </a:ln>
          </c:spPr>
          <c:marker>
            <c:symbol val="none"/>
          </c:marker>
          <c:xVal>
            <c:numRef>
              <c:f>Cyanid!$U$7:$V$7</c:f>
              <c:numCache>
                <c:formatCode>0.000</c:formatCode>
                <c:ptCount val="2"/>
                <c:pt idx="0">
                  <c:v>0</c:v>
                </c:pt>
                <c:pt idx="1">
                  <c:v>0</c:v>
                </c:pt>
              </c:numCache>
            </c:numRef>
          </c:xVal>
          <c:yVal>
            <c:numRef>
              <c:f>Cyanid!$U$2:$V$2</c:f>
              <c:numCache>
                <c:formatCode>General</c:formatCode>
                <c:ptCount val="2"/>
                <c:pt idx="0">
                  <c:v>0</c:v>
                </c:pt>
                <c:pt idx="1">
                  <c:v>1000</c:v>
                </c:pt>
              </c:numCache>
            </c:numRef>
          </c:yVal>
          <c:smooth val="0"/>
          <c:extLst>
            <c:ext xmlns:c16="http://schemas.microsoft.com/office/drawing/2014/chart" uri="{C3380CC4-5D6E-409C-BE32-E72D297353CC}">
              <c16:uniqueId val="{00000007-50F5-4DD1-9E06-239E433406C5}"/>
            </c:ext>
          </c:extLst>
        </c:ser>
        <c:ser>
          <c:idx val="8"/>
          <c:order val="8"/>
          <c:tx>
            <c:v>Q95u Lo</c:v>
          </c:tx>
          <c:spPr>
            <a:ln w="12700">
              <a:solidFill>
                <a:srgbClr val="FF00FF"/>
              </a:solidFill>
              <a:prstDash val="sysDash"/>
            </a:ln>
          </c:spPr>
          <c:marker>
            <c:symbol val="none"/>
          </c:marker>
          <c:xVal>
            <c:numRef>
              <c:f>Cyanid!$U$8:$V$8</c:f>
              <c:numCache>
                <c:formatCode>0.000</c:formatCode>
                <c:ptCount val="2"/>
                <c:pt idx="0">
                  <c:v>0</c:v>
                </c:pt>
                <c:pt idx="1">
                  <c:v>0</c:v>
                </c:pt>
              </c:numCache>
            </c:numRef>
          </c:xVal>
          <c:yVal>
            <c:numRef>
              <c:f>Cyanid!$U$2:$V$2</c:f>
              <c:numCache>
                <c:formatCode>General</c:formatCode>
                <c:ptCount val="2"/>
                <c:pt idx="0">
                  <c:v>0</c:v>
                </c:pt>
                <c:pt idx="1">
                  <c:v>1000</c:v>
                </c:pt>
              </c:numCache>
            </c:numRef>
          </c:yVal>
          <c:smooth val="0"/>
          <c:extLst>
            <c:ext xmlns:c16="http://schemas.microsoft.com/office/drawing/2014/chart" uri="{C3380CC4-5D6E-409C-BE32-E72D297353CC}">
              <c16:uniqueId val="{00000008-50F5-4DD1-9E06-239E433406C5}"/>
            </c:ext>
          </c:extLst>
        </c:ser>
        <c:ser>
          <c:idx val="9"/>
          <c:order val="9"/>
          <c:tx>
            <c:v>Median</c:v>
          </c:tx>
          <c:spPr>
            <a:ln w="12700">
              <a:solidFill>
                <a:srgbClr val="969696"/>
              </a:solidFill>
              <a:prstDash val="lgDashDotDot"/>
            </a:ln>
          </c:spPr>
          <c:marker>
            <c:symbol val="none"/>
          </c:marker>
          <c:xVal>
            <c:numRef>
              <c:f>Cyanid!$U$11:$V$11</c:f>
              <c:numCache>
                <c:formatCode>0.000</c:formatCode>
                <c:ptCount val="2"/>
                <c:pt idx="0">
                  <c:v>0</c:v>
                </c:pt>
                <c:pt idx="1">
                  <c:v>0</c:v>
                </c:pt>
              </c:numCache>
            </c:numRef>
          </c:xVal>
          <c:yVal>
            <c:numRef>
              <c:f>Cyanid!$U$2:$V$2</c:f>
              <c:numCache>
                <c:formatCode>General</c:formatCode>
                <c:ptCount val="2"/>
                <c:pt idx="0">
                  <c:v>0</c:v>
                </c:pt>
                <c:pt idx="1">
                  <c:v>1000</c:v>
                </c:pt>
              </c:numCache>
            </c:numRef>
          </c:yVal>
          <c:smooth val="0"/>
          <c:extLst>
            <c:ext xmlns:c16="http://schemas.microsoft.com/office/drawing/2014/chart" uri="{C3380CC4-5D6E-409C-BE32-E72D297353CC}">
              <c16:uniqueId val="{00000009-50F5-4DD1-9E06-239E433406C5}"/>
            </c:ext>
          </c:extLst>
        </c:ser>
        <c:dLbls>
          <c:showLegendKey val="0"/>
          <c:showVal val="0"/>
          <c:showCatName val="0"/>
          <c:showSerName val="0"/>
          <c:showPercent val="0"/>
          <c:showBubbleSize val="0"/>
        </c:dLbls>
        <c:axId val="155096576"/>
        <c:axId val="155098112"/>
      </c:scatterChart>
      <c:valAx>
        <c:axId val="155096576"/>
        <c:scaling>
          <c:orientation val="minMax"/>
          <c:max val="0.2"/>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5098112"/>
        <c:crosses val="autoZero"/>
        <c:crossBetween val="midCat"/>
        <c:majorUnit val="5.000000000000001E-2"/>
        <c:minorUnit val="1.0000000000000002E-2"/>
      </c:valAx>
      <c:valAx>
        <c:axId val="155098112"/>
        <c:scaling>
          <c:orientation val="minMax"/>
          <c:max val="15"/>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5096576"/>
        <c:crosses val="autoZero"/>
        <c:crossBetween val="midCat"/>
        <c:majorUnit val="2"/>
        <c:minorUnit val="1"/>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Cyanid!$M$3:$M$252</c:f>
              <c:numCache>
                <c:formatCode>d/m/yyyy;@</c:formatCode>
                <c:ptCount val="250"/>
              </c:numCache>
            </c:numRef>
          </c:xVal>
          <c:yVal>
            <c:numRef>
              <c:f>Cyanid!$N$3:$N$252</c:f>
              <c:numCache>
                <c:formatCode>General</c:formatCode>
                <c:ptCount val="250"/>
              </c:numCache>
            </c:numRef>
          </c:yVal>
          <c:smooth val="0"/>
          <c:extLst>
            <c:ext xmlns:c16="http://schemas.microsoft.com/office/drawing/2014/chart" uri="{C3380CC4-5D6E-409C-BE32-E72D297353CC}">
              <c16:uniqueId val="{00000000-FFA6-429F-AD2E-31C52C3F0176}"/>
            </c:ext>
          </c:extLst>
        </c:ser>
        <c:ser>
          <c:idx val="1"/>
          <c:order val="1"/>
          <c:tx>
            <c:v>Q95</c:v>
          </c:tx>
          <c:spPr>
            <a:ln w="12700">
              <a:solidFill>
                <a:srgbClr val="0000FF"/>
              </a:solidFill>
              <a:prstDash val="sysDash"/>
            </a:ln>
          </c:spPr>
          <c:marker>
            <c:symbol val="none"/>
          </c:marker>
          <c:xVal>
            <c:numRef>
              <c:f>Cyanid!$E$57:$E$58</c:f>
              <c:numCache>
                <c:formatCode>m/d/yyyy</c:formatCode>
                <c:ptCount val="2"/>
                <c:pt idx="0">
                  <c:v>1</c:v>
                </c:pt>
                <c:pt idx="1">
                  <c:v>51501</c:v>
                </c:pt>
              </c:numCache>
            </c:numRef>
          </c:xVal>
          <c:yVal>
            <c:numRef>
              <c:f>Cyanid!$F$57:$F$58</c:f>
              <c:numCache>
                <c:formatCode>0.000</c:formatCode>
                <c:ptCount val="2"/>
                <c:pt idx="0">
                  <c:v>0</c:v>
                </c:pt>
                <c:pt idx="1">
                  <c:v>0</c:v>
                </c:pt>
              </c:numCache>
            </c:numRef>
          </c:yVal>
          <c:smooth val="0"/>
          <c:extLst>
            <c:ext xmlns:c16="http://schemas.microsoft.com/office/drawing/2014/chart" uri="{C3380CC4-5D6E-409C-BE32-E72D297353CC}">
              <c16:uniqueId val="{00000001-FFA6-429F-AD2E-31C52C3F0176}"/>
            </c:ext>
          </c:extLst>
        </c:ser>
        <c:ser>
          <c:idx val="4"/>
          <c:order val="2"/>
          <c:tx>
            <c:v>Q95Log</c:v>
          </c:tx>
          <c:spPr>
            <a:ln w="12700">
              <a:solidFill>
                <a:srgbClr val="FF00FF"/>
              </a:solidFill>
              <a:prstDash val="sysDash"/>
            </a:ln>
          </c:spPr>
          <c:marker>
            <c:symbol val="none"/>
          </c:marker>
          <c:xVal>
            <c:numRef>
              <c:f>Cyanid!$E$57:$E$58</c:f>
              <c:numCache>
                <c:formatCode>m/d/yyyy</c:formatCode>
                <c:ptCount val="2"/>
                <c:pt idx="0">
                  <c:v>1</c:v>
                </c:pt>
                <c:pt idx="1">
                  <c:v>51501</c:v>
                </c:pt>
              </c:numCache>
            </c:numRef>
          </c:xVal>
          <c:yVal>
            <c:numRef>
              <c:f>Cyanid!$J$57:$J$58</c:f>
              <c:numCache>
                <c:formatCode>0.000</c:formatCode>
                <c:ptCount val="2"/>
                <c:pt idx="0">
                  <c:v>0</c:v>
                </c:pt>
                <c:pt idx="1">
                  <c:v>0</c:v>
                </c:pt>
              </c:numCache>
            </c:numRef>
          </c:yVal>
          <c:smooth val="0"/>
          <c:extLst>
            <c:ext xmlns:c16="http://schemas.microsoft.com/office/drawing/2014/chart" uri="{C3380CC4-5D6E-409C-BE32-E72D297353CC}">
              <c16:uniqueId val="{00000002-FFA6-429F-AD2E-31C52C3F0176}"/>
            </c:ext>
          </c:extLst>
        </c:ser>
        <c:ser>
          <c:idx val="9"/>
          <c:order val="3"/>
          <c:tx>
            <c:v>vT</c:v>
          </c:tx>
          <c:spPr>
            <a:ln w="12700">
              <a:solidFill>
                <a:srgbClr val="808080"/>
              </a:solidFill>
              <a:prstDash val="sysDash"/>
            </a:ln>
          </c:spPr>
          <c:marker>
            <c:symbol val="none"/>
          </c:marker>
          <c:xVal>
            <c:numRef>
              <c:f>Cyanid!$G$122:$G$123</c:f>
              <c:numCache>
                <c:formatCode>d/m/yyyy;@</c:formatCode>
                <c:ptCount val="2"/>
                <c:pt idx="0">
                  <c:v>0</c:v>
                </c:pt>
                <c:pt idx="1">
                  <c:v>0</c:v>
                </c:pt>
              </c:numCache>
            </c:numRef>
          </c:xVal>
          <c:yVal>
            <c:numRef>
              <c:f>Cyanid!$I$122:$I$123</c:f>
              <c:numCache>
                <c:formatCode>General</c:formatCode>
                <c:ptCount val="2"/>
                <c:pt idx="0">
                  <c:v>0</c:v>
                </c:pt>
                <c:pt idx="1">
                  <c:v>0</c:v>
                </c:pt>
              </c:numCache>
            </c:numRef>
          </c:yVal>
          <c:smooth val="0"/>
          <c:extLst>
            <c:ext xmlns:c16="http://schemas.microsoft.com/office/drawing/2014/chart" uri="{C3380CC4-5D6E-409C-BE32-E72D297353CC}">
              <c16:uniqueId val="{00000003-FFA6-429F-AD2E-31C52C3F0176}"/>
            </c:ext>
          </c:extLst>
        </c:ser>
        <c:ser>
          <c:idx val="10"/>
          <c:order val="4"/>
          <c:tx>
            <c:v>Trend</c:v>
          </c:tx>
          <c:spPr>
            <a:ln w="12700">
              <a:solidFill>
                <a:srgbClr val="808080"/>
              </a:solidFill>
              <a:prstDash val="solid"/>
            </a:ln>
          </c:spPr>
          <c:marker>
            <c:symbol val="none"/>
          </c:marker>
          <c:xVal>
            <c:numRef>
              <c:f>Cyanid!$G$122:$G$123</c:f>
              <c:numCache>
                <c:formatCode>d/m/yyyy;@</c:formatCode>
                <c:ptCount val="2"/>
                <c:pt idx="0">
                  <c:v>0</c:v>
                </c:pt>
                <c:pt idx="1">
                  <c:v>0</c:v>
                </c:pt>
              </c:numCache>
            </c:numRef>
          </c:xVal>
          <c:yVal>
            <c:numRef>
              <c:f>Cyanid!$J$122:$J$123</c:f>
              <c:numCache>
                <c:formatCode>General</c:formatCode>
                <c:ptCount val="2"/>
                <c:pt idx="0">
                  <c:v>0</c:v>
                </c:pt>
                <c:pt idx="1">
                  <c:v>0</c:v>
                </c:pt>
              </c:numCache>
            </c:numRef>
          </c:yVal>
          <c:smooth val="0"/>
          <c:extLst>
            <c:ext xmlns:c16="http://schemas.microsoft.com/office/drawing/2014/chart" uri="{C3380CC4-5D6E-409C-BE32-E72D297353CC}">
              <c16:uniqueId val="{00000004-FFA6-429F-AD2E-31C52C3F0176}"/>
            </c:ext>
          </c:extLst>
        </c:ser>
        <c:ser>
          <c:idx val="2"/>
          <c:order val="5"/>
          <c:tx>
            <c:v>Q95u</c:v>
          </c:tx>
          <c:spPr>
            <a:ln w="12700">
              <a:solidFill>
                <a:srgbClr val="0000FF"/>
              </a:solidFill>
              <a:prstDash val="sysDash"/>
            </a:ln>
          </c:spPr>
          <c:marker>
            <c:symbol val="none"/>
          </c:marker>
          <c:xVal>
            <c:numRef>
              <c:f>Cyanid!$E$57:$E$58</c:f>
              <c:numCache>
                <c:formatCode>m/d/yyyy</c:formatCode>
                <c:ptCount val="2"/>
                <c:pt idx="0">
                  <c:v>1</c:v>
                </c:pt>
                <c:pt idx="1">
                  <c:v>51501</c:v>
                </c:pt>
              </c:numCache>
            </c:numRef>
          </c:xVal>
          <c:yVal>
            <c:numRef>
              <c:f>Cyanid!$G$57:$G$58</c:f>
              <c:numCache>
                <c:formatCode>0.000</c:formatCode>
                <c:ptCount val="2"/>
                <c:pt idx="0">
                  <c:v>0</c:v>
                </c:pt>
                <c:pt idx="1">
                  <c:v>0</c:v>
                </c:pt>
              </c:numCache>
            </c:numRef>
          </c:yVal>
          <c:smooth val="0"/>
          <c:extLst>
            <c:ext xmlns:c16="http://schemas.microsoft.com/office/drawing/2014/chart" uri="{C3380CC4-5D6E-409C-BE32-E72D297353CC}">
              <c16:uniqueId val="{00000005-FFA6-429F-AD2E-31C52C3F0176}"/>
            </c:ext>
          </c:extLst>
        </c:ser>
        <c:ser>
          <c:idx val="3"/>
          <c:order val="6"/>
          <c:tx>
            <c:v>Q98</c:v>
          </c:tx>
          <c:spPr>
            <a:ln w="12700">
              <a:solidFill>
                <a:srgbClr val="0000FF"/>
              </a:solidFill>
              <a:prstDash val="solid"/>
            </a:ln>
          </c:spPr>
          <c:marker>
            <c:symbol val="none"/>
          </c:marker>
          <c:xVal>
            <c:numRef>
              <c:f>Cyanid!$E$57:$E$58</c:f>
              <c:numCache>
                <c:formatCode>m/d/yyyy</c:formatCode>
                <c:ptCount val="2"/>
                <c:pt idx="0">
                  <c:v>1</c:v>
                </c:pt>
                <c:pt idx="1">
                  <c:v>51501</c:v>
                </c:pt>
              </c:numCache>
            </c:numRef>
          </c:xVal>
          <c:yVal>
            <c:numRef>
              <c:f>Cyanid!$H$57:$H$58</c:f>
              <c:numCache>
                <c:formatCode>0.000</c:formatCode>
                <c:ptCount val="2"/>
                <c:pt idx="0">
                  <c:v>0</c:v>
                </c:pt>
                <c:pt idx="1">
                  <c:v>0</c:v>
                </c:pt>
              </c:numCache>
            </c:numRef>
          </c:yVal>
          <c:smooth val="0"/>
          <c:extLst>
            <c:ext xmlns:c16="http://schemas.microsoft.com/office/drawing/2014/chart" uri="{C3380CC4-5D6E-409C-BE32-E72D297353CC}">
              <c16:uniqueId val="{00000006-FFA6-429F-AD2E-31C52C3F0176}"/>
            </c:ext>
          </c:extLst>
        </c:ser>
        <c:ser>
          <c:idx val="6"/>
          <c:order val="7"/>
          <c:tx>
            <c:v>Q98Log</c:v>
          </c:tx>
          <c:spPr>
            <a:ln w="12700">
              <a:solidFill>
                <a:srgbClr val="CC00FF"/>
              </a:solidFill>
            </a:ln>
          </c:spPr>
          <c:marker>
            <c:symbol val="none"/>
          </c:marker>
          <c:xVal>
            <c:numRef>
              <c:f>Cyanid!$E$57:$E$58</c:f>
              <c:numCache>
                <c:formatCode>m/d/yyyy</c:formatCode>
                <c:ptCount val="2"/>
                <c:pt idx="0">
                  <c:v>1</c:v>
                </c:pt>
                <c:pt idx="1">
                  <c:v>51501</c:v>
                </c:pt>
              </c:numCache>
            </c:numRef>
          </c:xVal>
          <c:yVal>
            <c:numRef>
              <c:f>Cyanid!$K$57:$K$58</c:f>
              <c:numCache>
                <c:formatCode>0.000</c:formatCode>
                <c:ptCount val="2"/>
                <c:pt idx="0">
                  <c:v>0</c:v>
                </c:pt>
                <c:pt idx="1">
                  <c:v>0</c:v>
                </c:pt>
              </c:numCache>
            </c:numRef>
          </c:yVal>
          <c:smooth val="0"/>
          <c:extLst>
            <c:ext xmlns:c16="http://schemas.microsoft.com/office/drawing/2014/chart" uri="{C3380CC4-5D6E-409C-BE32-E72D297353CC}">
              <c16:uniqueId val="{00000007-FFA6-429F-AD2E-31C52C3F0176}"/>
            </c:ext>
          </c:extLst>
        </c:ser>
        <c:dLbls>
          <c:showLegendKey val="0"/>
          <c:showVal val="0"/>
          <c:showCatName val="0"/>
          <c:showSerName val="0"/>
          <c:showPercent val="0"/>
          <c:showBubbleSize val="0"/>
        </c:dLbls>
        <c:axId val="155172864"/>
        <c:axId val="155174400"/>
      </c:scatterChart>
      <c:valAx>
        <c:axId val="155172864"/>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5174400"/>
        <c:crossesAt val="0"/>
        <c:crossBetween val="midCat"/>
        <c:majorUnit val="1461"/>
        <c:minorUnit val="365.25"/>
      </c:valAx>
      <c:valAx>
        <c:axId val="155174400"/>
        <c:scaling>
          <c:orientation val="minMax"/>
          <c:max val="0.30000000000000004"/>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5172864"/>
        <c:crossesAt val="0"/>
        <c:crossBetween val="midCat"/>
        <c:majorUnit val="0.1"/>
        <c:minorUnit val="5.000000000000001E-2"/>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Bor!$F$63:$F$113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Bor!$G$63:$G$113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69C0-47FD-B1F1-EEE1B68E74FC}"/>
            </c:ext>
          </c:extLst>
        </c:ser>
        <c:ser>
          <c:idx val="1"/>
          <c:order val="1"/>
          <c:tx>
            <c:v>LogNormalverteilung</c:v>
          </c:tx>
          <c:spPr>
            <a:ln w="25400">
              <a:solidFill>
                <a:srgbClr val="FF00FF"/>
              </a:solidFill>
              <a:prstDash val="solid"/>
            </a:ln>
          </c:spPr>
          <c:marker>
            <c:symbol val="none"/>
          </c:marker>
          <c:xVal>
            <c:numRef>
              <c:f>Bor!$I$63:$I$113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Bor!$J$63:$J$113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69C0-47FD-B1F1-EEE1B68E74FC}"/>
            </c:ext>
          </c:extLst>
        </c:ser>
        <c:ser>
          <c:idx val="2"/>
          <c:order val="2"/>
          <c:tx>
            <c:v>Histogramm</c:v>
          </c:tx>
          <c:spPr>
            <a:ln w="25400">
              <a:solidFill>
                <a:srgbClr val="969696"/>
              </a:solidFill>
              <a:prstDash val="lgDashDot"/>
            </a:ln>
          </c:spPr>
          <c:marker>
            <c:symbol val="none"/>
          </c:marker>
          <c:xVal>
            <c:numRef>
              <c:f>Bor!$T$46:$T$97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Bor!$U$46:$U$97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69C0-47FD-B1F1-EEE1B68E74FC}"/>
            </c:ext>
          </c:extLst>
        </c:ser>
        <c:ser>
          <c:idx val="3"/>
          <c:order val="3"/>
          <c:tx>
            <c:v>Q95 No</c:v>
          </c:tx>
          <c:spPr>
            <a:ln w="12700">
              <a:solidFill>
                <a:srgbClr val="0000FF"/>
              </a:solidFill>
              <a:prstDash val="sysDash"/>
            </a:ln>
          </c:spPr>
          <c:marker>
            <c:symbol val="none"/>
          </c:marker>
          <c:xVal>
            <c:numRef>
              <c:f>Bor!$U$3:$V$3</c:f>
              <c:numCache>
                <c:formatCode>0.000</c:formatCode>
                <c:ptCount val="2"/>
                <c:pt idx="0">
                  <c:v>0</c:v>
                </c:pt>
                <c:pt idx="1">
                  <c:v>0</c:v>
                </c:pt>
              </c:numCache>
            </c:numRef>
          </c:xVal>
          <c:yVal>
            <c:numRef>
              <c:f>Bor!$U$2:$V$2</c:f>
              <c:numCache>
                <c:formatCode>General</c:formatCode>
                <c:ptCount val="2"/>
                <c:pt idx="0">
                  <c:v>0</c:v>
                </c:pt>
                <c:pt idx="1">
                  <c:v>1000</c:v>
                </c:pt>
              </c:numCache>
            </c:numRef>
          </c:yVal>
          <c:smooth val="0"/>
          <c:extLst>
            <c:ext xmlns:c16="http://schemas.microsoft.com/office/drawing/2014/chart" uri="{C3380CC4-5D6E-409C-BE32-E72D297353CC}">
              <c16:uniqueId val="{00000003-69C0-47FD-B1F1-EEE1B68E74FC}"/>
            </c:ext>
          </c:extLst>
        </c:ser>
        <c:ser>
          <c:idx val="4"/>
          <c:order val="4"/>
          <c:tx>
            <c:v>Q95 Lo</c:v>
          </c:tx>
          <c:spPr>
            <a:ln w="12700">
              <a:solidFill>
                <a:srgbClr val="FF00FF"/>
              </a:solidFill>
              <a:prstDash val="sysDash"/>
            </a:ln>
          </c:spPr>
          <c:marker>
            <c:symbol val="none"/>
          </c:marker>
          <c:xVal>
            <c:numRef>
              <c:f>Bor!$U$4:$V$4</c:f>
              <c:numCache>
                <c:formatCode>0.000</c:formatCode>
                <c:ptCount val="2"/>
                <c:pt idx="0">
                  <c:v>0</c:v>
                </c:pt>
                <c:pt idx="1">
                  <c:v>0</c:v>
                </c:pt>
              </c:numCache>
            </c:numRef>
          </c:xVal>
          <c:yVal>
            <c:numRef>
              <c:f>Bor!$U$2:$V$2</c:f>
              <c:numCache>
                <c:formatCode>General</c:formatCode>
                <c:ptCount val="2"/>
                <c:pt idx="0">
                  <c:v>0</c:v>
                </c:pt>
                <c:pt idx="1">
                  <c:v>1000</c:v>
                </c:pt>
              </c:numCache>
            </c:numRef>
          </c:yVal>
          <c:smooth val="0"/>
          <c:extLst>
            <c:ext xmlns:c16="http://schemas.microsoft.com/office/drawing/2014/chart" uri="{C3380CC4-5D6E-409C-BE32-E72D297353CC}">
              <c16:uniqueId val="{00000004-69C0-47FD-B1F1-EEE1B68E74FC}"/>
            </c:ext>
          </c:extLst>
        </c:ser>
        <c:ser>
          <c:idx val="5"/>
          <c:order val="5"/>
          <c:tx>
            <c:v>Q98 No</c:v>
          </c:tx>
          <c:spPr>
            <a:ln w="12700">
              <a:solidFill>
                <a:srgbClr val="0000FF"/>
              </a:solidFill>
              <a:prstDash val="solid"/>
            </a:ln>
          </c:spPr>
          <c:marker>
            <c:symbol val="none"/>
          </c:marker>
          <c:xVal>
            <c:numRef>
              <c:f>Bor!$U$5:$V$5</c:f>
              <c:numCache>
                <c:formatCode>0.000</c:formatCode>
                <c:ptCount val="2"/>
                <c:pt idx="0">
                  <c:v>0</c:v>
                </c:pt>
                <c:pt idx="1">
                  <c:v>0</c:v>
                </c:pt>
              </c:numCache>
            </c:numRef>
          </c:xVal>
          <c:yVal>
            <c:numRef>
              <c:f>Bor!$U$2:$V$2</c:f>
              <c:numCache>
                <c:formatCode>General</c:formatCode>
                <c:ptCount val="2"/>
                <c:pt idx="0">
                  <c:v>0</c:v>
                </c:pt>
                <c:pt idx="1">
                  <c:v>1000</c:v>
                </c:pt>
              </c:numCache>
            </c:numRef>
          </c:yVal>
          <c:smooth val="0"/>
          <c:extLst>
            <c:ext xmlns:c16="http://schemas.microsoft.com/office/drawing/2014/chart" uri="{C3380CC4-5D6E-409C-BE32-E72D297353CC}">
              <c16:uniqueId val="{00000005-69C0-47FD-B1F1-EEE1B68E74FC}"/>
            </c:ext>
          </c:extLst>
        </c:ser>
        <c:ser>
          <c:idx val="6"/>
          <c:order val="6"/>
          <c:tx>
            <c:v>Q98 Lo</c:v>
          </c:tx>
          <c:spPr>
            <a:ln w="12700">
              <a:solidFill>
                <a:srgbClr val="FF00FF"/>
              </a:solidFill>
              <a:prstDash val="solid"/>
            </a:ln>
          </c:spPr>
          <c:marker>
            <c:symbol val="none"/>
          </c:marker>
          <c:xVal>
            <c:numRef>
              <c:f>Bor!$U$6:$V$6</c:f>
              <c:numCache>
                <c:formatCode>0.000</c:formatCode>
                <c:ptCount val="2"/>
                <c:pt idx="0">
                  <c:v>0</c:v>
                </c:pt>
                <c:pt idx="1">
                  <c:v>0</c:v>
                </c:pt>
              </c:numCache>
            </c:numRef>
          </c:xVal>
          <c:yVal>
            <c:numRef>
              <c:f>Bor!$U$2:$V$2</c:f>
              <c:numCache>
                <c:formatCode>General</c:formatCode>
                <c:ptCount val="2"/>
                <c:pt idx="0">
                  <c:v>0</c:v>
                </c:pt>
                <c:pt idx="1">
                  <c:v>1000</c:v>
                </c:pt>
              </c:numCache>
            </c:numRef>
          </c:yVal>
          <c:smooth val="0"/>
          <c:extLst>
            <c:ext xmlns:c16="http://schemas.microsoft.com/office/drawing/2014/chart" uri="{C3380CC4-5D6E-409C-BE32-E72D297353CC}">
              <c16:uniqueId val="{00000006-69C0-47FD-B1F1-EEE1B68E74FC}"/>
            </c:ext>
          </c:extLst>
        </c:ser>
        <c:ser>
          <c:idx val="7"/>
          <c:order val="7"/>
          <c:tx>
            <c:v>Q95u</c:v>
          </c:tx>
          <c:spPr>
            <a:ln w="12700">
              <a:solidFill>
                <a:srgbClr val="0000FF"/>
              </a:solidFill>
              <a:prstDash val="sysDash"/>
            </a:ln>
          </c:spPr>
          <c:marker>
            <c:symbol val="none"/>
          </c:marker>
          <c:xVal>
            <c:numRef>
              <c:f>Bor!$U$7:$V$7</c:f>
              <c:numCache>
                <c:formatCode>0.000</c:formatCode>
                <c:ptCount val="2"/>
                <c:pt idx="0">
                  <c:v>0</c:v>
                </c:pt>
                <c:pt idx="1">
                  <c:v>0</c:v>
                </c:pt>
              </c:numCache>
            </c:numRef>
          </c:xVal>
          <c:yVal>
            <c:numRef>
              <c:f>Bor!$U$2:$V$2</c:f>
              <c:numCache>
                <c:formatCode>General</c:formatCode>
                <c:ptCount val="2"/>
                <c:pt idx="0">
                  <c:v>0</c:v>
                </c:pt>
                <c:pt idx="1">
                  <c:v>1000</c:v>
                </c:pt>
              </c:numCache>
            </c:numRef>
          </c:yVal>
          <c:smooth val="0"/>
          <c:extLst>
            <c:ext xmlns:c16="http://schemas.microsoft.com/office/drawing/2014/chart" uri="{C3380CC4-5D6E-409C-BE32-E72D297353CC}">
              <c16:uniqueId val="{00000007-69C0-47FD-B1F1-EEE1B68E74FC}"/>
            </c:ext>
          </c:extLst>
        </c:ser>
        <c:ser>
          <c:idx val="8"/>
          <c:order val="8"/>
          <c:tx>
            <c:v>Q95u Lo</c:v>
          </c:tx>
          <c:spPr>
            <a:ln w="12700">
              <a:solidFill>
                <a:srgbClr val="FF00FF"/>
              </a:solidFill>
              <a:prstDash val="sysDash"/>
            </a:ln>
          </c:spPr>
          <c:marker>
            <c:symbol val="none"/>
          </c:marker>
          <c:xVal>
            <c:numRef>
              <c:f>Bor!$U$8:$V$8</c:f>
              <c:numCache>
                <c:formatCode>0.000</c:formatCode>
                <c:ptCount val="2"/>
                <c:pt idx="0">
                  <c:v>0</c:v>
                </c:pt>
                <c:pt idx="1">
                  <c:v>0</c:v>
                </c:pt>
              </c:numCache>
            </c:numRef>
          </c:xVal>
          <c:yVal>
            <c:numRef>
              <c:f>Bor!$U$2:$V$2</c:f>
              <c:numCache>
                <c:formatCode>General</c:formatCode>
                <c:ptCount val="2"/>
                <c:pt idx="0">
                  <c:v>0</c:v>
                </c:pt>
                <c:pt idx="1">
                  <c:v>1000</c:v>
                </c:pt>
              </c:numCache>
            </c:numRef>
          </c:yVal>
          <c:smooth val="0"/>
          <c:extLst>
            <c:ext xmlns:c16="http://schemas.microsoft.com/office/drawing/2014/chart" uri="{C3380CC4-5D6E-409C-BE32-E72D297353CC}">
              <c16:uniqueId val="{00000008-69C0-47FD-B1F1-EEE1B68E74FC}"/>
            </c:ext>
          </c:extLst>
        </c:ser>
        <c:ser>
          <c:idx val="9"/>
          <c:order val="9"/>
          <c:tx>
            <c:v>Median</c:v>
          </c:tx>
          <c:spPr>
            <a:ln w="12700">
              <a:solidFill>
                <a:srgbClr val="969696"/>
              </a:solidFill>
              <a:prstDash val="lgDashDotDot"/>
            </a:ln>
          </c:spPr>
          <c:marker>
            <c:symbol val="none"/>
          </c:marker>
          <c:xVal>
            <c:numRef>
              <c:f>Bor!$U$11:$V$11</c:f>
              <c:numCache>
                <c:formatCode>0.000</c:formatCode>
                <c:ptCount val="2"/>
                <c:pt idx="0">
                  <c:v>0</c:v>
                </c:pt>
                <c:pt idx="1">
                  <c:v>0</c:v>
                </c:pt>
              </c:numCache>
            </c:numRef>
          </c:xVal>
          <c:yVal>
            <c:numRef>
              <c:f>Bor!$U$2:$V$2</c:f>
              <c:numCache>
                <c:formatCode>General</c:formatCode>
                <c:ptCount val="2"/>
                <c:pt idx="0">
                  <c:v>0</c:v>
                </c:pt>
                <c:pt idx="1">
                  <c:v>1000</c:v>
                </c:pt>
              </c:numCache>
            </c:numRef>
          </c:yVal>
          <c:smooth val="0"/>
          <c:extLst>
            <c:ext xmlns:c16="http://schemas.microsoft.com/office/drawing/2014/chart" uri="{C3380CC4-5D6E-409C-BE32-E72D297353CC}">
              <c16:uniqueId val="{00000009-69C0-47FD-B1F1-EEE1B68E74FC}"/>
            </c:ext>
          </c:extLst>
        </c:ser>
        <c:dLbls>
          <c:showLegendKey val="0"/>
          <c:showVal val="0"/>
          <c:showCatName val="0"/>
          <c:showSerName val="0"/>
          <c:showPercent val="0"/>
          <c:showBubbleSize val="0"/>
        </c:dLbls>
        <c:axId val="152481152"/>
        <c:axId val="152482944"/>
      </c:scatterChart>
      <c:valAx>
        <c:axId val="152481152"/>
        <c:scaling>
          <c:orientation val="minMax"/>
          <c:max val="0.30000000000000004"/>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2482944"/>
        <c:crosses val="autoZero"/>
        <c:crossBetween val="midCat"/>
        <c:majorUnit val="0.1"/>
        <c:minorUnit val="5.000000000000001E-2"/>
      </c:valAx>
      <c:valAx>
        <c:axId val="152482944"/>
        <c:scaling>
          <c:orientation val="minMax"/>
          <c:max val="2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2481152"/>
        <c:crosses val="autoZero"/>
        <c:crossBetween val="midCat"/>
        <c:majorUnit val="5"/>
        <c:minorUnit val="1"/>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Bor!$M$3:$M$252</c:f>
              <c:numCache>
                <c:formatCode>d/m/yyyy;@</c:formatCode>
                <c:ptCount val="250"/>
              </c:numCache>
            </c:numRef>
          </c:xVal>
          <c:yVal>
            <c:numRef>
              <c:f>Bor!$N$3:$N$252</c:f>
              <c:numCache>
                <c:formatCode>General</c:formatCode>
                <c:ptCount val="250"/>
              </c:numCache>
            </c:numRef>
          </c:yVal>
          <c:smooth val="0"/>
          <c:extLst>
            <c:ext xmlns:c16="http://schemas.microsoft.com/office/drawing/2014/chart" uri="{C3380CC4-5D6E-409C-BE32-E72D297353CC}">
              <c16:uniqueId val="{00000000-967B-4360-8B86-5D3CC36458D9}"/>
            </c:ext>
          </c:extLst>
        </c:ser>
        <c:ser>
          <c:idx val="1"/>
          <c:order val="1"/>
          <c:tx>
            <c:v>Q95</c:v>
          </c:tx>
          <c:spPr>
            <a:ln w="12700">
              <a:solidFill>
                <a:srgbClr val="0000FF"/>
              </a:solidFill>
              <a:prstDash val="sysDash"/>
            </a:ln>
          </c:spPr>
          <c:marker>
            <c:symbol val="none"/>
          </c:marker>
          <c:xVal>
            <c:numRef>
              <c:f>Bor!$E$57:$E$58</c:f>
              <c:numCache>
                <c:formatCode>m/d/yyyy</c:formatCode>
                <c:ptCount val="2"/>
                <c:pt idx="0">
                  <c:v>1</c:v>
                </c:pt>
                <c:pt idx="1">
                  <c:v>51501</c:v>
                </c:pt>
              </c:numCache>
            </c:numRef>
          </c:xVal>
          <c:yVal>
            <c:numRef>
              <c:f>Bor!$F$57:$F$58</c:f>
              <c:numCache>
                <c:formatCode>0.000</c:formatCode>
                <c:ptCount val="2"/>
                <c:pt idx="0">
                  <c:v>0</c:v>
                </c:pt>
                <c:pt idx="1">
                  <c:v>0</c:v>
                </c:pt>
              </c:numCache>
            </c:numRef>
          </c:yVal>
          <c:smooth val="0"/>
          <c:extLst>
            <c:ext xmlns:c16="http://schemas.microsoft.com/office/drawing/2014/chart" uri="{C3380CC4-5D6E-409C-BE32-E72D297353CC}">
              <c16:uniqueId val="{00000001-967B-4360-8B86-5D3CC36458D9}"/>
            </c:ext>
          </c:extLst>
        </c:ser>
        <c:ser>
          <c:idx val="4"/>
          <c:order val="2"/>
          <c:tx>
            <c:v>Q95Log</c:v>
          </c:tx>
          <c:spPr>
            <a:ln w="12700">
              <a:solidFill>
                <a:srgbClr val="FF00FF"/>
              </a:solidFill>
              <a:prstDash val="sysDash"/>
            </a:ln>
          </c:spPr>
          <c:marker>
            <c:symbol val="none"/>
          </c:marker>
          <c:xVal>
            <c:numRef>
              <c:f>Bor!$E$57:$E$58</c:f>
              <c:numCache>
                <c:formatCode>m/d/yyyy</c:formatCode>
                <c:ptCount val="2"/>
                <c:pt idx="0">
                  <c:v>1</c:v>
                </c:pt>
                <c:pt idx="1">
                  <c:v>51501</c:v>
                </c:pt>
              </c:numCache>
            </c:numRef>
          </c:xVal>
          <c:yVal>
            <c:numRef>
              <c:f>Bor!$J$57:$J$58</c:f>
              <c:numCache>
                <c:formatCode>0.000</c:formatCode>
                <c:ptCount val="2"/>
                <c:pt idx="0">
                  <c:v>0</c:v>
                </c:pt>
                <c:pt idx="1">
                  <c:v>0</c:v>
                </c:pt>
              </c:numCache>
            </c:numRef>
          </c:yVal>
          <c:smooth val="0"/>
          <c:extLst>
            <c:ext xmlns:c16="http://schemas.microsoft.com/office/drawing/2014/chart" uri="{C3380CC4-5D6E-409C-BE32-E72D297353CC}">
              <c16:uniqueId val="{00000002-967B-4360-8B86-5D3CC36458D9}"/>
            </c:ext>
          </c:extLst>
        </c:ser>
        <c:ser>
          <c:idx val="9"/>
          <c:order val="3"/>
          <c:tx>
            <c:v>vT</c:v>
          </c:tx>
          <c:spPr>
            <a:ln w="12700">
              <a:solidFill>
                <a:srgbClr val="808080"/>
              </a:solidFill>
              <a:prstDash val="sysDash"/>
            </a:ln>
          </c:spPr>
          <c:marker>
            <c:symbol val="none"/>
          </c:marker>
          <c:xVal>
            <c:numRef>
              <c:f>Bor!$G$122:$G$123</c:f>
              <c:numCache>
                <c:formatCode>d/m/yyyy;@</c:formatCode>
                <c:ptCount val="2"/>
                <c:pt idx="0">
                  <c:v>0</c:v>
                </c:pt>
                <c:pt idx="1">
                  <c:v>0</c:v>
                </c:pt>
              </c:numCache>
            </c:numRef>
          </c:xVal>
          <c:yVal>
            <c:numRef>
              <c:f>Bor!$I$122:$I$123</c:f>
              <c:numCache>
                <c:formatCode>General</c:formatCode>
                <c:ptCount val="2"/>
                <c:pt idx="0">
                  <c:v>0</c:v>
                </c:pt>
                <c:pt idx="1">
                  <c:v>0</c:v>
                </c:pt>
              </c:numCache>
            </c:numRef>
          </c:yVal>
          <c:smooth val="0"/>
          <c:extLst>
            <c:ext xmlns:c16="http://schemas.microsoft.com/office/drawing/2014/chart" uri="{C3380CC4-5D6E-409C-BE32-E72D297353CC}">
              <c16:uniqueId val="{00000003-967B-4360-8B86-5D3CC36458D9}"/>
            </c:ext>
          </c:extLst>
        </c:ser>
        <c:ser>
          <c:idx val="10"/>
          <c:order val="4"/>
          <c:tx>
            <c:v>Trend</c:v>
          </c:tx>
          <c:spPr>
            <a:ln w="12700">
              <a:solidFill>
                <a:srgbClr val="808080"/>
              </a:solidFill>
              <a:prstDash val="solid"/>
            </a:ln>
          </c:spPr>
          <c:marker>
            <c:symbol val="none"/>
          </c:marker>
          <c:xVal>
            <c:numRef>
              <c:f>Bor!$G$122:$G$123</c:f>
              <c:numCache>
                <c:formatCode>d/m/yyyy;@</c:formatCode>
                <c:ptCount val="2"/>
                <c:pt idx="0">
                  <c:v>0</c:v>
                </c:pt>
                <c:pt idx="1">
                  <c:v>0</c:v>
                </c:pt>
              </c:numCache>
            </c:numRef>
          </c:xVal>
          <c:yVal>
            <c:numRef>
              <c:f>Bor!$J$122:$J$123</c:f>
              <c:numCache>
                <c:formatCode>General</c:formatCode>
                <c:ptCount val="2"/>
                <c:pt idx="0">
                  <c:v>0</c:v>
                </c:pt>
                <c:pt idx="1">
                  <c:v>0</c:v>
                </c:pt>
              </c:numCache>
            </c:numRef>
          </c:yVal>
          <c:smooth val="0"/>
          <c:extLst>
            <c:ext xmlns:c16="http://schemas.microsoft.com/office/drawing/2014/chart" uri="{C3380CC4-5D6E-409C-BE32-E72D297353CC}">
              <c16:uniqueId val="{00000004-967B-4360-8B86-5D3CC36458D9}"/>
            </c:ext>
          </c:extLst>
        </c:ser>
        <c:ser>
          <c:idx val="2"/>
          <c:order val="5"/>
          <c:tx>
            <c:v>Q95u</c:v>
          </c:tx>
          <c:spPr>
            <a:ln w="12700">
              <a:solidFill>
                <a:srgbClr val="0000FF"/>
              </a:solidFill>
              <a:prstDash val="sysDash"/>
            </a:ln>
          </c:spPr>
          <c:marker>
            <c:symbol val="none"/>
          </c:marker>
          <c:xVal>
            <c:numRef>
              <c:f>Bor!$E$57:$E$58</c:f>
              <c:numCache>
                <c:formatCode>m/d/yyyy</c:formatCode>
                <c:ptCount val="2"/>
                <c:pt idx="0">
                  <c:v>1</c:v>
                </c:pt>
                <c:pt idx="1">
                  <c:v>51501</c:v>
                </c:pt>
              </c:numCache>
            </c:numRef>
          </c:xVal>
          <c:yVal>
            <c:numRef>
              <c:f>Bor!$G$57:$G$58</c:f>
              <c:numCache>
                <c:formatCode>0.000</c:formatCode>
                <c:ptCount val="2"/>
                <c:pt idx="0">
                  <c:v>0</c:v>
                </c:pt>
                <c:pt idx="1">
                  <c:v>0</c:v>
                </c:pt>
              </c:numCache>
            </c:numRef>
          </c:yVal>
          <c:smooth val="0"/>
          <c:extLst>
            <c:ext xmlns:c16="http://schemas.microsoft.com/office/drawing/2014/chart" uri="{C3380CC4-5D6E-409C-BE32-E72D297353CC}">
              <c16:uniqueId val="{00000005-967B-4360-8B86-5D3CC36458D9}"/>
            </c:ext>
          </c:extLst>
        </c:ser>
        <c:ser>
          <c:idx val="3"/>
          <c:order val="6"/>
          <c:tx>
            <c:v>Q98</c:v>
          </c:tx>
          <c:spPr>
            <a:ln w="12700">
              <a:solidFill>
                <a:srgbClr val="0000FF"/>
              </a:solidFill>
              <a:prstDash val="solid"/>
            </a:ln>
          </c:spPr>
          <c:marker>
            <c:symbol val="none"/>
          </c:marker>
          <c:xVal>
            <c:numRef>
              <c:f>Bor!$E$57:$E$58</c:f>
              <c:numCache>
                <c:formatCode>m/d/yyyy</c:formatCode>
                <c:ptCount val="2"/>
                <c:pt idx="0">
                  <c:v>1</c:v>
                </c:pt>
                <c:pt idx="1">
                  <c:v>51501</c:v>
                </c:pt>
              </c:numCache>
            </c:numRef>
          </c:xVal>
          <c:yVal>
            <c:numRef>
              <c:f>Bor!$H$57:$H$58</c:f>
              <c:numCache>
                <c:formatCode>0.000</c:formatCode>
                <c:ptCount val="2"/>
                <c:pt idx="0">
                  <c:v>0</c:v>
                </c:pt>
                <c:pt idx="1">
                  <c:v>0</c:v>
                </c:pt>
              </c:numCache>
            </c:numRef>
          </c:yVal>
          <c:smooth val="0"/>
          <c:extLst>
            <c:ext xmlns:c16="http://schemas.microsoft.com/office/drawing/2014/chart" uri="{C3380CC4-5D6E-409C-BE32-E72D297353CC}">
              <c16:uniqueId val="{00000006-967B-4360-8B86-5D3CC36458D9}"/>
            </c:ext>
          </c:extLst>
        </c:ser>
        <c:ser>
          <c:idx val="6"/>
          <c:order val="7"/>
          <c:tx>
            <c:v>Q98Log</c:v>
          </c:tx>
          <c:spPr>
            <a:ln w="12700">
              <a:solidFill>
                <a:srgbClr val="CC00FF"/>
              </a:solidFill>
            </a:ln>
          </c:spPr>
          <c:marker>
            <c:symbol val="none"/>
          </c:marker>
          <c:xVal>
            <c:numRef>
              <c:f>Bor!$E$57:$E$58</c:f>
              <c:numCache>
                <c:formatCode>m/d/yyyy</c:formatCode>
                <c:ptCount val="2"/>
                <c:pt idx="0">
                  <c:v>1</c:v>
                </c:pt>
                <c:pt idx="1">
                  <c:v>51501</c:v>
                </c:pt>
              </c:numCache>
            </c:numRef>
          </c:xVal>
          <c:yVal>
            <c:numRef>
              <c:f>Bor!$K$57:$K$58</c:f>
              <c:numCache>
                <c:formatCode>0.000</c:formatCode>
                <c:ptCount val="2"/>
                <c:pt idx="0">
                  <c:v>0</c:v>
                </c:pt>
                <c:pt idx="1">
                  <c:v>0</c:v>
                </c:pt>
              </c:numCache>
            </c:numRef>
          </c:yVal>
          <c:smooth val="0"/>
          <c:extLst>
            <c:ext xmlns:c16="http://schemas.microsoft.com/office/drawing/2014/chart" uri="{C3380CC4-5D6E-409C-BE32-E72D297353CC}">
              <c16:uniqueId val="{00000007-967B-4360-8B86-5D3CC36458D9}"/>
            </c:ext>
          </c:extLst>
        </c:ser>
        <c:dLbls>
          <c:showLegendKey val="0"/>
          <c:showVal val="0"/>
          <c:showCatName val="0"/>
          <c:showSerName val="0"/>
          <c:showPercent val="0"/>
          <c:showBubbleSize val="0"/>
        </c:dLbls>
        <c:axId val="155477888"/>
        <c:axId val="155479424"/>
      </c:scatterChart>
      <c:valAx>
        <c:axId val="155477888"/>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5479424"/>
        <c:crossesAt val="0"/>
        <c:crossBetween val="midCat"/>
        <c:majorUnit val="1461"/>
        <c:minorUnit val="365.25"/>
      </c:valAx>
      <c:valAx>
        <c:axId val="155479424"/>
        <c:scaling>
          <c:orientation val="minMax"/>
          <c:max val="0.30000000000000004"/>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5477888"/>
        <c:crossesAt val="0"/>
        <c:crossBetween val="midCat"/>
        <c:majorUnit val="0.1"/>
        <c:minorUnit val="5.000000000000001E-2"/>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KW!$F$63:$F$113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KW!$G$63:$G$113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267E-443B-B970-B01E0304F232}"/>
            </c:ext>
          </c:extLst>
        </c:ser>
        <c:ser>
          <c:idx val="1"/>
          <c:order val="1"/>
          <c:tx>
            <c:v>LogNormalverteilung</c:v>
          </c:tx>
          <c:spPr>
            <a:ln w="25400">
              <a:solidFill>
                <a:srgbClr val="FF00FF"/>
              </a:solidFill>
              <a:prstDash val="solid"/>
            </a:ln>
          </c:spPr>
          <c:marker>
            <c:symbol val="none"/>
          </c:marker>
          <c:xVal>
            <c:numRef>
              <c:f>KW!$I$63:$I$113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KW!$J$63:$J$113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267E-443B-B970-B01E0304F232}"/>
            </c:ext>
          </c:extLst>
        </c:ser>
        <c:ser>
          <c:idx val="2"/>
          <c:order val="2"/>
          <c:tx>
            <c:v>Histogramm</c:v>
          </c:tx>
          <c:spPr>
            <a:ln w="25400">
              <a:solidFill>
                <a:srgbClr val="969696"/>
              </a:solidFill>
              <a:prstDash val="lgDashDot"/>
            </a:ln>
          </c:spPr>
          <c:marker>
            <c:symbol val="none"/>
          </c:marker>
          <c:xVal>
            <c:numRef>
              <c:f>KW!$T$46:$T$97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KW!$U$46:$U$97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267E-443B-B970-B01E0304F232}"/>
            </c:ext>
          </c:extLst>
        </c:ser>
        <c:ser>
          <c:idx val="3"/>
          <c:order val="3"/>
          <c:tx>
            <c:v>Q95 No</c:v>
          </c:tx>
          <c:spPr>
            <a:ln w="12700">
              <a:solidFill>
                <a:srgbClr val="0000FF"/>
              </a:solidFill>
              <a:prstDash val="sysDash"/>
            </a:ln>
          </c:spPr>
          <c:marker>
            <c:symbol val="none"/>
          </c:marker>
          <c:xVal>
            <c:numRef>
              <c:f>KW!$U$3:$V$3</c:f>
              <c:numCache>
                <c:formatCode>0.000</c:formatCode>
                <c:ptCount val="2"/>
                <c:pt idx="0">
                  <c:v>0</c:v>
                </c:pt>
                <c:pt idx="1">
                  <c:v>0</c:v>
                </c:pt>
              </c:numCache>
            </c:numRef>
          </c:xVal>
          <c:yVal>
            <c:numRef>
              <c:f>KW!$U$2:$V$2</c:f>
              <c:numCache>
                <c:formatCode>General</c:formatCode>
                <c:ptCount val="2"/>
                <c:pt idx="0">
                  <c:v>0</c:v>
                </c:pt>
                <c:pt idx="1">
                  <c:v>1000</c:v>
                </c:pt>
              </c:numCache>
            </c:numRef>
          </c:yVal>
          <c:smooth val="0"/>
          <c:extLst>
            <c:ext xmlns:c16="http://schemas.microsoft.com/office/drawing/2014/chart" uri="{C3380CC4-5D6E-409C-BE32-E72D297353CC}">
              <c16:uniqueId val="{00000003-267E-443B-B970-B01E0304F232}"/>
            </c:ext>
          </c:extLst>
        </c:ser>
        <c:ser>
          <c:idx val="4"/>
          <c:order val="4"/>
          <c:tx>
            <c:v>Q95 Lo</c:v>
          </c:tx>
          <c:spPr>
            <a:ln w="12700">
              <a:solidFill>
                <a:srgbClr val="FF00FF"/>
              </a:solidFill>
              <a:prstDash val="sysDash"/>
            </a:ln>
          </c:spPr>
          <c:marker>
            <c:symbol val="none"/>
          </c:marker>
          <c:xVal>
            <c:numRef>
              <c:f>KW!$U$4:$V$4</c:f>
              <c:numCache>
                <c:formatCode>0.000</c:formatCode>
                <c:ptCount val="2"/>
                <c:pt idx="0">
                  <c:v>0</c:v>
                </c:pt>
                <c:pt idx="1">
                  <c:v>0</c:v>
                </c:pt>
              </c:numCache>
            </c:numRef>
          </c:xVal>
          <c:yVal>
            <c:numRef>
              <c:f>KW!$U$2:$V$2</c:f>
              <c:numCache>
                <c:formatCode>General</c:formatCode>
                <c:ptCount val="2"/>
                <c:pt idx="0">
                  <c:v>0</c:v>
                </c:pt>
                <c:pt idx="1">
                  <c:v>1000</c:v>
                </c:pt>
              </c:numCache>
            </c:numRef>
          </c:yVal>
          <c:smooth val="0"/>
          <c:extLst>
            <c:ext xmlns:c16="http://schemas.microsoft.com/office/drawing/2014/chart" uri="{C3380CC4-5D6E-409C-BE32-E72D297353CC}">
              <c16:uniqueId val="{00000004-267E-443B-B970-B01E0304F232}"/>
            </c:ext>
          </c:extLst>
        </c:ser>
        <c:ser>
          <c:idx val="5"/>
          <c:order val="5"/>
          <c:tx>
            <c:v>Q98 No</c:v>
          </c:tx>
          <c:spPr>
            <a:ln w="12700">
              <a:solidFill>
                <a:srgbClr val="0000FF"/>
              </a:solidFill>
              <a:prstDash val="solid"/>
            </a:ln>
          </c:spPr>
          <c:marker>
            <c:symbol val="none"/>
          </c:marker>
          <c:xVal>
            <c:numRef>
              <c:f>KW!$U$5:$V$5</c:f>
              <c:numCache>
                <c:formatCode>0.000</c:formatCode>
                <c:ptCount val="2"/>
                <c:pt idx="0">
                  <c:v>0</c:v>
                </c:pt>
                <c:pt idx="1">
                  <c:v>0</c:v>
                </c:pt>
              </c:numCache>
            </c:numRef>
          </c:xVal>
          <c:yVal>
            <c:numRef>
              <c:f>KW!$U$2:$V$2</c:f>
              <c:numCache>
                <c:formatCode>General</c:formatCode>
                <c:ptCount val="2"/>
                <c:pt idx="0">
                  <c:v>0</c:v>
                </c:pt>
                <c:pt idx="1">
                  <c:v>1000</c:v>
                </c:pt>
              </c:numCache>
            </c:numRef>
          </c:yVal>
          <c:smooth val="0"/>
          <c:extLst>
            <c:ext xmlns:c16="http://schemas.microsoft.com/office/drawing/2014/chart" uri="{C3380CC4-5D6E-409C-BE32-E72D297353CC}">
              <c16:uniqueId val="{00000005-267E-443B-B970-B01E0304F232}"/>
            </c:ext>
          </c:extLst>
        </c:ser>
        <c:ser>
          <c:idx val="6"/>
          <c:order val="6"/>
          <c:tx>
            <c:v>Q98 Lo</c:v>
          </c:tx>
          <c:spPr>
            <a:ln w="12700">
              <a:solidFill>
                <a:srgbClr val="FF00FF"/>
              </a:solidFill>
              <a:prstDash val="solid"/>
            </a:ln>
          </c:spPr>
          <c:marker>
            <c:symbol val="none"/>
          </c:marker>
          <c:xVal>
            <c:numRef>
              <c:f>KW!$U$6:$V$6</c:f>
              <c:numCache>
                <c:formatCode>0.000</c:formatCode>
                <c:ptCount val="2"/>
                <c:pt idx="0">
                  <c:v>0</c:v>
                </c:pt>
                <c:pt idx="1">
                  <c:v>0</c:v>
                </c:pt>
              </c:numCache>
            </c:numRef>
          </c:xVal>
          <c:yVal>
            <c:numRef>
              <c:f>KW!$U$2:$V$2</c:f>
              <c:numCache>
                <c:formatCode>General</c:formatCode>
                <c:ptCount val="2"/>
                <c:pt idx="0">
                  <c:v>0</c:v>
                </c:pt>
                <c:pt idx="1">
                  <c:v>1000</c:v>
                </c:pt>
              </c:numCache>
            </c:numRef>
          </c:yVal>
          <c:smooth val="0"/>
          <c:extLst>
            <c:ext xmlns:c16="http://schemas.microsoft.com/office/drawing/2014/chart" uri="{C3380CC4-5D6E-409C-BE32-E72D297353CC}">
              <c16:uniqueId val="{00000006-267E-443B-B970-B01E0304F232}"/>
            </c:ext>
          </c:extLst>
        </c:ser>
        <c:ser>
          <c:idx val="7"/>
          <c:order val="7"/>
          <c:tx>
            <c:v>Q95u</c:v>
          </c:tx>
          <c:spPr>
            <a:ln w="12700">
              <a:solidFill>
                <a:srgbClr val="0000FF"/>
              </a:solidFill>
              <a:prstDash val="sysDash"/>
            </a:ln>
          </c:spPr>
          <c:marker>
            <c:symbol val="none"/>
          </c:marker>
          <c:xVal>
            <c:numRef>
              <c:f>KW!$U$7:$V$7</c:f>
              <c:numCache>
                <c:formatCode>0.000</c:formatCode>
                <c:ptCount val="2"/>
                <c:pt idx="0">
                  <c:v>0</c:v>
                </c:pt>
                <c:pt idx="1">
                  <c:v>0</c:v>
                </c:pt>
              </c:numCache>
            </c:numRef>
          </c:xVal>
          <c:yVal>
            <c:numRef>
              <c:f>KW!$U$2:$V$2</c:f>
              <c:numCache>
                <c:formatCode>General</c:formatCode>
                <c:ptCount val="2"/>
                <c:pt idx="0">
                  <c:v>0</c:v>
                </c:pt>
                <c:pt idx="1">
                  <c:v>1000</c:v>
                </c:pt>
              </c:numCache>
            </c:numRef>
          </c:yVal>
          <c:smooth val="0"/>
          <c:extLst>
            <c:ext xmlns:c16="http://schemas.microsoft.com/office/drawing/2014/chart" uri="{C3380CC4-5D6E-409C-BE32-E72D297353CC}">
              <c16:uniqueId val="{00000007-267E-443B-B970-B01E0304F232}"/>
            </c:ext>
          </c:extLst>
        </c:ser>
        <c:ser>
          <c:idx val="8"/>
          <c:order val="8"/>
          <c:tx>
            <c:v>Q95u Lo</c:v>
          </c:tx>
          <c:spPr>
            <a:ln w="12700">
              <a:solidFill>
                <a:srgbClr val="FF00FF"/>
              </a:solidFill>
              <a:prstDash val="sysDash"/>
            </a:ln>
          </c:spPr>
          <c:marker>
            <c:symbol val="none"/>
          </c:marker>
          <c:xVal>
            <c:numRef>
              <c:f>KW!$U$8:$V$8</c:f>
              <c:numCache>
                <c:formatCode>0.000</c:formatCode>
                <c:ptCount val="2"/>
                <c:pt idx="0">
                  <c:v>0</c:v>
                </c:pt>
                <c:pt idx="1">
                  <c:v>0</c:v>
                </c:pt>
              </c:numCache>
            </c:numRef>
          </c:xVal>
          <c:yVal>
            <c:numRef>
              <c:f>KW!$U$2:$V$2</c:f>
              <c:numCache>
                <c:formatCode>General</c:formatCode>
                <c:ptCount val="2"/>
                <c:pt idx="0">
                  <c:v>0</c:v>
                </c:pt>
                <c:pt idx="1">
                  <c:v>1000</c:v>
                </c:pt>
              </c:numCache>
            </c:numRef>
          </c:yVal>
          <c:smooth val="0"/>
          <c:extLst>
            <c:ext xmlns:c16="http://schemas.microsoft.com/office/drawing/2014/chart" uri="{C3380CC4-5D6E-409C-BE32-E72D297353CC}">
              <c16:uniqueId val="{00000008-267E-443B-B970-B01E0304F232}"/>
            </c:ext>
          </c:extLst>
        </c:ser>
        <c:ser>
          <c:idx val="9"/>
          <c:order val="9"/>
          <c:tx>
            <c:v>Median</c:v>
          </c:tx>
          <c:spPr>
            <a:ln w="12700">
              <a:solidFill>
                <a:srgbClr val="969696"/>
              </a:solidFill>
              <a:prstDash val="lgDashDotDot"/>
            </a:ln>
          </c:spPr>
          <c:marker>
            <c:symbol val="none"/>
          </c:marker>
          <c:xVal>
            <c:numRef>
              <c:f>KW!$U$11:$V$11</c:f>
              <c:numCache>
                <c:formatCode>0.000</c:formatCode>
                <c:ptCount val="2"/>
                <c:pt idx="0">
                  <c:v>0</c:v>
                </c:pt>
                <c:pt idx="1">
                  <c:v>0</c:v>
                </c:pt>
              </c:numCache>
            </c:numRef>
          </c:xVal>
          <c:yVal>
            <c:numRef>
              <c:f>KW!$U$2:$V$2</c:f>
              <c:numCache>
                <c:formatCode>General</c:formatCode>
                <c:ptCount val="2"/>
                <c:pt idx="0">
                  <c:v>0</c:v>
                </c:pt>
                <c:pt idx="1">
                  <c:v>1000</c:v>
                </c:pt>
              </c:numCache>
            </c:numRef>
          </c:yVal>
          <c:smooth val="0"/>
          <c:extLst>
            <c:ext xmlns:c16="http://schemas.microsoft.com/office/drawing/2014/chart" uri="{C3380CC4-5D6E-409C-BE32-E72D297353CC}">
              <c16:uniqueId val="{00000009-267E-443B-B970-B01E0304F232}"/>
            </c:ext>
          </c:extLst>
        </c:ser>
        <c:dLbls>
          <c:showLegendKey val="0"/>
          <c:showVal val="0"/>
          <c:showCatName val="0"/>
          <c:showSerName val="0"/>
          <c:showPercent val="0"/>
          <c:showBubbleSize val="0"/>
        </c:dLbls>
        <c:axId val="155378816"/>
        <c:axId val="155380352"/>
      </c:scatterChart>
      <c:valAx>
        <c:axId val="155378816"/>
        <c:scaling>
          <c:orientation val="minMax"/>
          <c:max val="3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5380352"/>
        <c:crosses val="autoZero"/>
        <c:crossBetween val="midCat"/>
        <c:majorUnit val="50"/>
        <c:minorUnit val="10"/>
      </c:valAx>
      <c:valAx>
        <c:axId val="155380352"/>
        <c:scaling>
          <c:orientation val="minMax"/>
          <c:max val="2.0000000000000004E-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5378816"/>
        <c:crosses val="autoZero"/>
        <c:crossBetween val="midCat"/>
        <c:majorUnit val="5.000000000000001E-3"/>
        <c:minorUnit val="1.0000000000000002E-3"/>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KW!$M$3:$M$252</c:f>
              <c:numCache>
                <c:formatCode>d/m/yyyy;@</c:formatCode>
                <c:ptCount val="250"/>
              </c:numCache>
            </c:numRef>
          </c:xVal>
          <c:yVal>
            <c:numRef>
              <c:f>KW!$N$3:$N$252</c:f>
              <c:numCache>
                <c:formatCode>General</c:formatCode>
                <c:ptCount val="250"/>
              </c:numCache>
            </c:numRef>
          </c:yVal>
          <c:smooth val="0"/>
          <c:extLst>
            <c:ext xmlns:c16="http://schemas.microsoft.com/office/drawing/2014/chart" uri="{C3380CC4-5D6E-409C-BE32-E72D297353CC}">
              <c16:uniqueId val="{00000000-FB4C-4E8A-AD8B-60EA8C21C682}"/>
            </c:ext>
          </c:extLst>
        </c:ser>
        <c:ser>
          <c:idx val="1"/>
          <c:order val="1"/>
          <c:tx>
            <c:v>Q95</c:v>
          </c:tx>
          <c:spPr>
            <a:ln w="12700">
              <a:solidFill>
                <a:srgbClr val="0000FF"/>
              </a:solidFill>
              <a:prstDash val="sysDash"/>
            </a:ln>
          </c:spPr>
          <c:marker>
            <c:symbol val="none"/>
          </c:marker>
          <c:xVal>
            <c:numRef>
              <c:f>KW!$E$57:$E$58</c:f>
              <c:numCache>
                <c:formatCode>m/d/yyyy</c:formatCode>
                <c:ptCount val="2"/>
                <c:pt idx="0">
                  <c:v>1</c:v>
                </c:pt>
                <c:pt idx="1">
                  <c:v>51501</c:v>
                </c:pt>
              </c:numCache>
            </c:numRef>
          </c:xVal>
          <c:yVal>
            <c:numRef>
              <c:f>KW!$F$57:$F$58</c:f>
              <c:numCache>
                <c:formatCode>0.000</c:formatCode>
                <c:ptCount val="2"/>
                <c:pt idx="0">
                  <c:v>0</c:v>
                </c:pt>
                <c:pt idx="1">
                  <c:v>0</c:v>
                </c:pt>
              </c:numCache>
            </c:numRef>
          </c:yVal>
          <c:smooth val="0"/>
          <c:extLst>
            <c:ext xmlns:c16="http://schemas.microsoft.com/office/drawing/2014/chart" uri="{C3380CC4-5D6E-409C-BE32-E72D297353CC}">
              <c16:uniqueId val="{00000001-FB4C-4E8A-AD8B-60EA8C21C682}"/>
            </c:ext>
          </c:extLst>
        </c:ser>
        <c:ser>
          <c:idx val="4"/>
          <c:order val="2"/>
          <c:tx>
            <c:v>Q95Log</c:v>
          </c:tx>
          <c:spPr>
            <a:ln w="12700">
              <a:solidFill>
                <a:srgbClr val="FF00FF"/>
              </a:solidFill>
              <a:prstDash val="sysDash"/>
            </a:ln>
          </c:spPr>
          <c:marker>
            <c:symbol val="none"/>
          </c:marker>
          <c:xVal>
            <c:numRef>
              <c:f>KW!$E$57:$E$58</c:f>
              <c:numCache>
                <c:formatCode>m/d/yyyy</c:formatCode>
                <c:ptCount val="2"/>
                <c:pt idx="0">
                  <c:v>1</c:v>
                </c:pt>
                <c:pt idx="1">
                  <c:v>51501</c:v>
                </c:pt>
              </c:numCache>
            </c:numRef>
          </c:xVal>
          <c:yVal>
            <c:numRef>
              <c:f>KW!$J$57:$J$58</c:f>
              <c:numCache>
                <c:formatCode>0.000</c:formatCode>
                <c:ptCount val="2"/>
                <c:pt idx="0">
                  <c:v>0</c:v>
                </c:pt>
                <c:pt idx="1">
                  <c:v>0</c:v>
                </c:pt>
              </c:numCache>
            </c:numRef>
          </c:yVal>
          <c:smooth val="0"/>
          <c:extLst>
            <c:ext xmlns:c16="http://schemas.microsoft.com/office/drawing/2014/chart" uri="{C3380CC4-5D6E-409C-BE32-E72D297353CC}">
              <c16:uniqueId val="{00000002-FB4C-4E8A-AD8B-60EA8C21C682}"/>
            </c:ext>
          </c:extLst>
        </c:ser>
        <c:ser>
          <c:idx val="9"/>
          <c:order val="3"/>
          <c:tx>
            <c:v>vT</c:v>
          </c:tx>
          <c:spPr>
            <a:ln w="12700">
              <a:solidFill>
                <a:srgbClr val="808080"/>
              </a:solidFill>
              <a:prstDash val="sysDash"/>
            </a:ln>
          </c:spPr>
          <c:marker>
            <c:symbol val="none"/>
          </c:marker>
          <c:xVal>
            <c:numRef>
              <c:f>KW!$G$122:$G$123</c:f>
              <c:numCache>
                <c:formatCode>d/m/yyyy;@</c:formatCode>
                <c:ptCount val="2"/>
                <c:pt idx="0">
                  <c:v>0</c:v>
                </c:pt>
                <c:pt idx="1">
                  <c:v>0</c:v>
                </c:pt>
              </c:numCache>
            </c:numRef>
          </c:xVal>
          <c:yVal>
            <c:numRef>
              <c:f>KW!$I$122:$I$123</c:f>
              <c:numCache>
                <c:formatCode>General</c:formatCode>
                <c:ptCount val="2"/>
                <c:pt idx="0">
                  <c:v>0</c:v>
                </c:pt>
                <c:pt idx="1">
                  <c:v>0</c:v>
                </c:pt>
              </c:numCache>
            </c:numRef>
          </c:yVal>
          <c:smooth val="0"/>
          <c:extLst>
            <c:ext xmlns:c16="http://schemas.microsoft.com/office/drawing/2014/chart" uri="{C3380CC4-5D6E-409C-BE32-E72D297353CC}">
              <c16:uniqueId val="{00000003-FB4C-4E8A-AD8B-60EA8C21C682}"/>
            </c:ext>
          </c:extLst>
        </c:ser>
        <c:ser>
          <c:idx val="10"/>
          <c:order val="4"/>
          <c:tx>
            <c:v>Trend</c:v>
          </c:tx>
          <c:spPr>
            <a:ln w="12700">
              <a:solidFill>
                <a:srgbClr val="808080"/>
              </a:solidFill>
              <a:prstDash val="solid"/>
            </a:ln>
          </c:spPr>
          <c:marker>
            <c:symbol val="none"/>
          </c:marker>
          <c:xVal>
            <c:numRef>
              <c:f>KW!$G$122:$G$123</c:f>
              <c:numCache>
                <c:formatCode>d/m/yyyy;@</c:formatCode>
                <c:ptCount val="2"/>
                <c:pt idx="0">
                  <c:v>0</c:v>
                </c:pt>
                <c:pt idx="1">
                  <c:v>0</c:v>
                </c:pt>
              </c:numCache>
            </c:numRef>
          </c:xVal>
          <c:yVal>
            <c:numRef>
              <c:f>KW!$J$122:$J$123</c:f>
              <c:numCache>
                <c:formatCode>General</c:formatCode>
                <c:ptCount val="2"/>
                <c:pt idx="0">
                  <c:v>0</c:v>
                </c:pt>
                <c:pt idx="1">
                  <c:v>0</c:v>
                </c:pt>
              </c:numCache>
            </c:numRef>
          </c:yVal>
          <c:smooth val="0"/>
          <c:extLst>
            <c:ext xmlns:c16="http://schemas.microsoft.com/office/drawing/2014/chart" uri="{C3380CC4-5D6E-409C-BE32-E72D297353CC}">
              <c16:uniqueId val="{00000004-FB4C-4E8A-AD8B-60EA8C21C682}"/>
            </c:ext>
          </c:extLst>
        </c:ser>
        <c:ser>
          <c:idx val="2"/>
          <c:order val="5"/>
          <c:tx>
            <c:v>Q95u</c:v>
          </c:tx>
          <c:spPr>
            <a:ln w="12700">
              <a:solidFill>
                <a:srgbClr val="0000FF"/>
              </a:solidFill>
              <a:prstDash val="sysDash"/>
            </a:ln>
          </c:spPr>
          <c:marker>
            <c:symbol val="none"/>
          </c:marker>
          <c:xVal>
            <c:numRef>
              <c:f>KW!$E$57:$E$58</c:f>
              <c:numCache>
                <c:formatCode>m/d/yyyy</c:formatCode>
                <c:ptCount val="2"/>
                <c:pt idx="0">
                  <c:v>1</c:v>
                </c:pt>
                <c:pt idx="1">
                  <c:v>51501</c:v>
                </c:pt>
              </c:numCache>
            </c:numRef>
          </c:xVal>
          <c:yVal>
            <c:numRef>
              <c:f>KW!$G$57:$G$58</c:f>
              <c:numCache>
                <c:formatCode>0.000</c:formatCode>
                <c:ptCount val="2"/>
                <c:pt idx="0">
                  <c:v>0</c:v>
                </c:pt>
                <c:pt idx="1">
                  <c:v>0</c:v>
                </c:pt>
              </c:numCache>
            </c:numRef>
          </c:yVal>
          <c:smooth val="0"/>
          <c:extLst>
            <c:ext xmlns:c16="http://schemas.microsoft.com/office/drawing/2014/chart" uri="{C3380CC4-5D6E-409C-BE32-E72D297353CC}">
              <c16:uniqueId val="{00000005-FB4C-4E8A-AD8B-60EA8C21C682}"/>
            </c:ext>
          </c:extLst>
        </c:ser>
        <c:ser>
          <c:idx val="3"/>
          <c:order val="6"/>
          <c:tx>
            <c:v>Q98</c:v>
          </c:tx>
          <c:spPr>
            <a:ln w="12700">
              <a:solidFill>
                <a:srgbClr val="0000FF"/>
              </a:solidFill>
              <a:prstDash val="solid"/>
            </a:ln>
          </c:spPr>
          <c:marker>
            <c:symbol val="none"/>
          </c:marker>
          <c:xVal>
            <c:numRef>
              <c:f>KW!$E$57:$E$58</c:f>
              <c:numCache>
                <c:formatCode>m/d/yyyy</c:formatCode>
                <c:ptCount val="2"/>
                <c:pt idx="0">
                  <c:v>1</c:v>
                </c:pt>
                <c:pt idx="1">
                  <c:v>51501</c:v>
                </c:pt>
              </c:numCache>
            </c:numRef>
          </c:xVal>
          <c:yVal>
            <c:numRef>
              <c:f>KW!$H$57:$H$58</c:f>
              <c:numCache>
                <c:formatCode>0.000</c:formatCode>
                <c:ptCount val="2"/>
                <c:pt idx="0">
                  <c:v>0</c:v>
                </c:pt>
                <c:pt idx="1">
                  <c:v>0</c:v>
                </c:pt>
              </c:numCache>
            </c:numRef>
          </c:yVal>
          <c:smooth val="0"/>
          <c:extLst>
            <c:ext xmlns:c16="http://schemas.microsoft.com/office/drawing/2014/chart" uri="{C3380CC4-5D6E-409C-BE32-E72D297353CC}">
              <c16:uniqueId val="{00000006-FB4C-4E8A-AD8B-60EA8C21C682}"/>
            </c:ext>
          </c:extLst>
        </c:ser>
        <c:ser>
          <c:idx val="6"/>
          <c:order val="7"/>
          <c:tx>
            <c:v>Q98Log</c:v>
          </c:tx>
          <c:spPr>
            <a:ln w="12700">
              <a:solidFill>
                <a:srgbClr val="CC00FF"/>
              </a:solidFill>
            </a:ln>
          </c:spPr>
          <c:marker>
            <c:symbol val="none"/>
          </c:marker>
          <c:xVal>
            <c:numRef>
              <c:f>KW!$E$57:$E$58</c:f>
              <c:numCache>
                <c:formatCode>m/d/yyyy</c:formatCode>
                <c:ptCount val="2"/>
                <c:pt idx="0">
                  <c:v>1</c:v>
                </c:pt>
                <c:pt idx="1">
                  <c:v>51501</c:v>
                </c:pt>
              </c:numCache>
            </c:numRef>
          </c:xVal>
          <c:yVal>
            <c:numRef>
              <c:f>KW!$K$57:$K$58</c:f>
              <c:numCache>
                <c:formatCode>0.000</c:formatCode>
                <c:ptCount val="2"/>
                <c:pt idx="0">
                  <c:v>0</c:v>
                </c:pt>
                <c:pt idx="1">
                  <c:v>0</c:v>
                </c:pt>
              </c:numCache>
            </c:numRef>
          </c:yVal>
          <c:smooth val="0"/>
          <c:extLst>
            <c:ext xmlns:c16="http://schemas.microsoft.com/office/drawing/2014/chart" uri="{C3380CC4-5D6E-409C-BE32-E72D297353CC}">
              <c16:uniqueId val="{00000007-FB4C-4E8A-AD8B-60EA8C21C682}"/>
            </c:ext>
          </c:extLst>
        </c:ser>
        <c:dLbls>
          <c:showLegendKey val="0"/>
          <c:showVal val="0"/>
          <c:showCatName val="0"/>
          <c:showSerName val="0"/>
          <c:showPercent val="0"/>
          <c:showBubbleSize val="0"/>
        </c:dLbls>
        <c:axId val="155434368"/>
        <c:axId val="155444352"/>
      </c:scatterChart>
      <c:valAx>
        <c:axId val="155434368"/>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5444352"/>
        <c:crossesAt val="0"/>
        <c:crossBetween val="midCat"/>
        <c:majorUnit val="1461"/>
        <c:minorUnit val="365.25"/>
      </c:valAx>
      <c:valAx>
        <c:axId val="155444352"/>
        <c:scaling>
          <c:orientation val="minMax"/>
          <c:max val="4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5434368"/>
        <c:crossesAt val="0"/>
        <c:crossBetween val="midCat"/>
        <c:majorUnit val="50"/>
        <c:minorUnit val="10"/>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PAK!$F$63:$F$113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PAK!$G$63:$G$113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8CE1-4ED7-8F72-749F1FF83200}"/>
            </c:ext>
          </c:extLst>
        </c:ser>
        <c:ser>
          <c:idx val="1"/>
          <c:order val="1"/>
          <c:tx>
            <c:v>LogNormalverteilung</c:v>
          </c:tx>
          <c:spPr>
            <a:ln w="25400">
              <a:solidFill>
                <a:srgbClr val="FF00FF"/>
              </a:solidFill>
              <a:prstDash val="solid"/>
            </a:ln>
          </c:spPr>
          <c:marker>
            <c:symbol val="none"/>
          </c:marker>
          <c:xVal>
            <c:numRef>
              <c:f>PAK!$I$63:$I$113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PAK!$J$63:$J$113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8CE1-4ED7-8F72-749F1FF83200}"/>
            </c:ext>
          </c:extLst>
        </c:ser>
        <c:ser>
          <c:idx val="2"/>
          <c:order val="2"/>
          <c:tx>
            <c:v>Histogramm</c:v>
          </c:tx>
          <c:spPr>
            <a:ln w="25400">
              <a:solidFill>
                <a:srgbClr val="969696"/>
              </a:solidFill>
              <a:prstDash val="lgDashDot"/>
            </a:ln>
          </c:spPr>
          <c:marker>
            <c:symbol val="none"/>
          </c:marker>
          <c:xVal>
            <c:numRef>
              <c:f>PAK!$T$46:$T$97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PAK!$U$46:$U$97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8CE1-4ED7-8F72-749F1FF83200}"/>
            </c:ext>
          </c:extLst>
        </c:ser>
        <c:ser>
          <c:idx val="3"/>
          <c:order val="3"/>
          <c:tx>
            <c:v>Q95 No</c:v>
          </c:tx>
          <c:spPr>
            <a:ln w="12700">
              <a:solidFill>
                <a:srgbClr val="0000FF"/>
              </a:solidFill>
              <a:prstDash val="sysDash"/>
            </a:ln>
          </c:spPr>
          <c:marker>
            <c:symbol val="none"/>
          </c:marker>
          <c:xVal>
            <c:numRef>
              <c:f>PAK!$U$3:$V$3</c:f>
              <c:numCache>
                <c:formatCode>0.000</c:formatCode>
                <c:ptCount val="2"/>
                <c:pt idx="0">
                  <c:v>0</c:v>
                </c:pt>
                <c:pt idx="1">
                  <c:v>0</c:v>
                </c:pt>
              </c:numCache>
            </c:numRef>
          </c:xVal>
          <c:yVal>
            <c:numRef>
              <c:f>PAK!$U$2:$V$2</c:f>
              <c:numCache>
                <c:formatCode>General</c:formatCode>
                <c:ptCount val="2"/>
                <c:pt idx="0">
                  <c:v>0</c:v>
                </c:pt>
                <c:pt idx="1">
                  <c:v>1000</c:v>
                </c:pt>
              </c:numCache>
            </c:numRef>
          </c:yVal>
          <c:smooth val="0"/>
          <c:extLst>
            <c:ext xmlns:c16="http://schemas.microsoft.com/office/drawing/2014/chart" uri="{C3380CC4-5D6E-409C-BE32-E72D297353CC}">
              <c16:uniqueId val="{00000003-8CE1-4ED7-8F72-749F1FF83200}"/>
            </c:ext>
          </c:extLst>
        </c:ser>
        <c:ser>
          <c:idx val="4"/>
          <c:order val="4"/>
          <c:tx>
            <c:v>Q95 Lo</c:v>
          </c:tx>
          <c:spPr>
            <a:ln w="12700">
              <a:solidFill>
                <a:srgbClr val="FF00FF"/>
              </a:solidFill>
              <a:prstDash val="sysDash"/>
            </a:ln>
          </c:spPr>
          <c:marker>
            <c:symbol val="none"/>
          </c:marker>
          <c:xVal>
            <c:numRef>
              <c:f>PAK!$U$4:$V$4</c:f>
              <c:numCache>
                <c:formatCode>0.000</c:formatCode>
                <c:ptCount val="2"/>
                <c:pt idx="0">
                  <c:v>0</c:v>
                </c:pt>
                <c:pt idx="1">
                  <c:v>0</c:v>
                </c:pt>
              </c:numCache>
            </c:numRef>
          </c:xVal>
          <c:yVal>
            <c:numRef>
              <c:f>PAK!$U$2:$V$2</c:f>
              <c:numCache>
                <c:formatCode>General</c:formatCode>
                <c:ptCount val="2"/>
                <c:pt idx="0">
                  <c:v>0</c:v>
                </c:pt>
                <c:pt idx="1">
                  <c:v>1000</c:v>
                </c:pt>
              </c:numCache>
            </c:numRef>
          </c:yVal>
          <c:smooth val="0"/>
          <c:extLst>
            <c:ext xmlns:c16="http://schemas.microsoft.com/office/drawing/2014/chart" uri="{C3380CC4-5D6E-409C-BE32-E72D297353CC}">
              <c16:uniqueId val="{00000004-8CE1-4ED7-8F72-749F1FF83200}"/>
            </c:ext>
          </c:extLst>
        </c:ser>
        <c:ser>
          <c:idx val="5"/>
          <c:order val="5"/>
          <c:tx>
            <c:v>Q98 No</c:v>
          </c:tx>
          <c:spPr>
            <a:ln w="12700">
              <a:solidFill>
                <a:srgbClr val="0000FF"/>
              </a:solidFill>
              <a:prstDash val="solid"/>
            </a:ln>
          </c:spPr>
          <c:marker>
            <c:symbol val="none"/>
          </c:marker>
          <c:xVal>
            <c:numRef>
              <c:f>PAK!$U$5:$V$5</c:f>
              <c:numCache>
                <c:formatCode>0.000</c:formatCode>
                <c:ptCount val="2"/>
                <c:pt idx="0">
                  <c:v>0</c:v>
                </c:pt>
                <c:pt idx="1">
                  <c:v>0</c:v>
                </c:pt>
              </c:numCache>
            </c:numRef>
          </c:xVal>
          <c:yVal>
            <c:numRef>
              <c:f>PAK!$U$2:$V$2</c:f>
              <c:numCache>
                <c:formatCode>General</c:formatCode>
                <c:ptCount val="2"/>
                <c:pt idx="0">
                  <c:v>0</c:v>
                </c:pt>
                <c:pt idx="1">
                  <c:v>1000</c:v>
                </c:pt>
              </c:numCache>
            </c:numRef>
          </c:yVal>
          <c:smooth val="0"/>
          <c:extLst>
            <c:ext xmlns:c16="http://schemas.microsoft.com/office/drawing/2014/chart" uri="{C3380CC4-5D6E-409C-BE32-E72D297353CC}">
              <c16:uniqueId val="{00000005-8CE1-4ED7-8F72-749F1FF83200}"/>
            </c:ext>
          </c:extLst>
        </c:ser>
        <c:ser>
          <c:idx val="6"/>
          <c:order val="6"/>
          <c:tx>
            <c:v>Q98 Lo</c:v>
          </c:tx>
          <c:spPr>
            <a:ln w="12700">
              <a:solidFill>
                <a:srgbClr val="FF00FF"/>
              </a:solidFill>
              <a:prstDash val="solid"/>
            </a:ln>
          </c:spPr>
          <c:marker>
            <c:symbol val="none"/>
          </c:marker>
          <c:xVal>
            <c:numRef>
              <c:f>PAK!$U$6:$V$6</c:f>
              <c:numCache>
                <c:formatCode>0.000</c:formatCode>
                <c:ptCount val="2"/>
                <c:pt idx="0">
                  <c:v>0</c:v>
                </c:pt>
                <c:pt idx="1">
                  <c:v>0</c:v>
                </c:pt>
              </c:numCache>
            </c:numRef>
          </c:xVal>
          <c:yVal>
            <c:numRef>
              <c:f>PAK!$U$2:$V$2</c:f>
              <c:numCache>
                <c:formatCode>General</c:formatCode>
                <c:ptCount val="2"/>
                <c:pt idx="0">
                  <c:v>0</c:v>
                </c:pt>
                <c:pt idx="1">
                  <c:v>1000</c:v>
                </c:pt>
              </c:numCache>
            </c:numRef>
          </c:yVal>
          <c:smooth val="0"/>
          <c:extLst>
            <c:ext xmlns:c16="http://schemas.microsoft.com/office/drawing/2014/chart" uri="{C3380CC4-5D6E-409C-BE32-E72D297353CC}">
              <c16:uniqueId val="{00000006-8CE1-4ED7-8F72-749F1FF83200}"/>
            </c:ext>
          </c:extLst>
        </c:ser>
        <c:ser>
          <c:idx val="7"/>
          <c:order val="7"/>
          <c:tx>
            <c:v>Q95u</c:v>
          </c:tx>
          <c:spPr>
            <a:ln w="12700">
              <a:solidFill>
                <a:srgbClr val="0000FF"/>
              </a:solidFill>
              <a:prstDash val="sysDash"/>
            </a:ln>
          </c:spPr>
          <c:marker>
            <c:symbol val="none"/>
          </c:marker>
          <c:xVal>
            <c:numRef>
              <c:f>PAK!$U$7:$V$7</c:f>
              <c:numCache>
                <c:formatCode>0.000</c:formatCode>
                <c:ptCount val="2"/>
                <c:pt idx="0">
                  <c:v>0</c:v>
                </c:pt>
                <c:pt idx="1">
                  <c:v>0</c:v>
                </c:pt>
              </c:numCache>
            </c:numRef>
          </c:xVal>
          <c:yVal>
            <c:numRef>
              <c:f>PAK!$U$2:$V$2</c:f>
              <c:numCache>
                <c:formatCode>General</c:formatCode>
                <c:ptCount val="2"/>
                <c:pt idx="0">
                  <c:v>0</c:v>
                </c:pt>
                <c:pt idx="1">
                  <c:v>1000</c:v>
                </c:pt>
              </c:numCache>
            </c:numRef>
          </c:yVal>
          <c:smooth val="0"/>
          <c:extLst>
            <c:ext xmlns:c16="http://schemas.microsoft.com/office/drawing/2014/chart" uri="{C3380CC4-5D6E-409C-BE32-E72D297353CC}">
              <c16:uniqueId val="{00000007-8CE1-4ED7-8F72-749F1FF83200}"/>
            </c:ext>
          </c:extLst>
        </c:ser>
        <c:ser>
          <c:idx val="8"/>
          <c:order val="8"/>
          <c:tx>
            <c:v>Q95u Lo</c:v>
          </c:tx>
          <c:spPr>
            <a:ln w="12700">
              <a:solidFill>
                <a:srgbClr val="FF00FF"/>
              </a:solidFill>
              <a:prstDash val="sysDash"/>
            </a:ln>
          </c:spPr>
          <c:marker>
            <c:symbol val="none"/>
          </c:marker>
          <c:xVal>
            <c:numRef>
              <c:f>PAK!$U$8:$V$8</c:f>
              <c:numCache>
                <c:formatCode>0.000</c:formatCode>
                <c:ptCount val="2"/>
                <c:pt idx="0">
                  <c:v>0</c:v>
                </c:pt>
                <c:pt idx="1">
                  <c:v>0</c:v>
                </c:pt>
              </c:numCache>
            </c:numRef>
          </c:xVal>
          <c:yVal>
            <c:numRef>
              <c:f>PAK!$U$2:$V$2</c:f>
              <c:numCache>
                <c:formatCode>General</c:formatCode>
                <c:ptCount val="2"/>
                <c:pt idx="0">
                  <c:v>0</c:v>
                </c:pt>
                <c:pt idx="1">
                  <c:v>1000</c:v>
                </c:pt>
              </c:numCache>
            </c:numRef>
          </c:yVal>
          <c:smooth val="0"/>
          <c:extLst>
            <c:ext xmlns:c16="http://schemas.microsoft.com/office/drawing/2014/chart" uri="{C3380CC4-5D6E-409C-BE32-E72D297353CC}">
              <c16:uniqueId val="{00000008-8CE1-4ED7-8F72-749F1FF83200}"/>
            </c:ext>
          </c:extLst>
        </c:ser>
        <c:ser>
          <c:idx val="9"/>
          <c:order val="9"/>
          <c:tx>
            <c:v>Median</c:v>
          </c:tx>
          <c:spPr>
            <a:ln w="12700">
              <a:solidFill>
                <a:srgbClr val="969696"/>
              </a:solidFill>
              <a:prstDash val="lgDashDotDot"/>
            </a:ln>
          </c:spPr>
          <c:marker>
            <c:symbol val="none"/>
          </c:marker>
          <c:xVal>
            <c:numRef>
              <c:f>PAK!$U$11:$V$11</c:f>
              <c:numCache>
                <c:formatCode>0.000</c:formatCode>
                <c:ptCount val="2"/>
                <c:pt idx="0">
                  <c:v>0</c:v>
                </c:pt>
                <c:pt idx="1">
                  <c:v>0</c:v>
                </c:pt>
              </c:numCache>
            </c:numRef>
          </c:xVal>
          <c:yVal>
            <c:numRef>
              <c:f>PAK!$U$2:$V$2</c:f>
              <c:numCache>
                <c:formatCode>General</c:formatCode>
                <c:ptCount val="2"/>
                <c:pt idx="0">
                  <c:v>0</c:v>
                </c:pt>
                <c:pt idx="1">
                  <c:v>1000</c:v>
                </c:pt>
              </c:numCache>
            </c:numRef>
          </c:yVal>
          <c:smooth val="0"/>
          <c:extLst>
            <c:ext xmlns:c16="http://schemas.microsoft.com/office/drawing/2014/chart" uri="{C3380CC4-5D6E-409C-BE32-E72D297353CC}">
              <c16:uniqueId val="{00000009-8CE1-4ED7-8F72-749F1FF83200}"/>
            </c:ext>
          </c:extLst>
        </c:ser>
        <c:dLbls>
          <c:showLegendKey val="0"/>
          <c:showVal val="0"/>
          <c:showCatName val="0"/>
          <c:showSerName val="0"/>
          <c:showPercent val="0"/>
          <c:showBubbleSize val="0"/>
        </c:dLbls>
        <c:axId val="155806336"/>
        <c:axId val="155812224"/>
      </c:scatterChart>
      <c:valAx>
        <c:axId val="155806336"/>
        <c:scaling>
          <c:orientation val="minMax"/>
          <c:max val="0.5"/>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5812224"/>
        <c:crosses val="autoZero"/>
        <c:crossBetween val="midCat"/>
        <c:majorUnit val="0.1"/>
        <c:minorUnit val="5.000000000000001E-2"/>
      </c:valAx>
      <c:valAx>
        <c:axId val="155812224"/>
        <c:scaling>
          <c:orientation val="minMax"/>
          <c:max val="1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5806336"/>
        <c:crosses val="autoZero"/>
        <c:crossBetween val="midCat"/>
        <c:majorUnit val="2"/>
        <c:minorUnit val="1"/>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PAK!$M$3:$M$252</c:f>
              <c:numCache>
                <c:formatCode>d/m/yyyy;@</c:formatCode>
                <c:ptCount val="250"/>
              </c:numCache>
            </c:numRef>
          </c:xVal>
          <c:yVal>
            <c:numRef>
              <c:f>PAK!$N$3:$N$252</c:f>
              <c:numCache>
                <c:formatCode>General</c:formatCode>
                <c:ptCount val="250"/>
              </c:numCache>
            </c:numRef>
          </c:yVal>
          <c:smooth val="0"/>
          <c:extLst>
            <c:ext xmlns:c16="http://schemas.microsoft.com/office/drawing/2014/chart" uri="{C3380CC4-5D6E-409C-BE32-E72D297353CC}">
              <c16:uniqueId val="{00000000-E57D-4D72-8A47-E3F80274F3C9}"/>
            </c:ext>
          </c:extLst>
        </c:ser>
        <c:ser>
          <c:idx val="1"/>
          <c:order val="1"/>
          <c:tx>
            <c:v>Q95</c:v>
          </c:tx>
          <c:spPr>
            <a:ln w="12700">
              <a:solidFill>
                <a:srgbClr val="0000FF"/>
              </a:solidFill>
              <a:prstDash val="sysDash"/>
            </a:ln>
          </c:spPr>
          <c:marker>
            <c:symbol val="none"/>
          </c:marker>
          <c:xVal>
            <c:numRef>
              <c:f>PAK!$E$57:$E$58</c:f>
              <c:numCache>
                <c:formatCode>m/d/yyyy</c:formatCode>
                <c:ptCount val="2"/>
                <c:pt idx="0">
                  <c:v>1</c:v>
                </c:pt>
                <c:pt idx="1">
                  <c:v>73415</c:v>
                </c:pt>
              </c:numCache>
            </c:numRef>
          </c:xVal>
          <c:yVal>
            <c:numRef>
              <c:f>PAK!$F$57:$F$58</c:f>
              <c:numCache>
                <c:formatCode>0.000</c:formatCode>
                <c:ptCount val="2"/>
                <c:pt idx="0">
                  <c:v>0</c:v>
                </c:pt>
                <c:pt idx="1">
                  <c:v>0</c:v>
                </c:pt>
              </c:numCache>
            </c:numRef>
          </c:yVal>
          <c:smooth val="0"/>
          <c:extLst>
            <c:ext xmlns:c16="http://schemas.microsoft.com/office/drawing/2014/chart" uri="{C3380CC4-5D6E-409C-BE32-E72D297353CC}">
              <c16:uniqueId val="{00000001-E57D-4D72-8A47-E3F80274F3C9}"/>
            </c:ext>
          </c:extLst>
        </c:ser>
        <c:ser>
          <c:idx val="4"/>
          <c:order val="2"/>
          <c:tx>
            <c:v>Q95Log</c:v>
          </c:tx>
          <c:spPr>
            <a:ln w="12700">
              <a:solidFill>
                <a:srgbClr val="FF00FF"/>
              </a:solidFill>
              <a:prstDash val="sysDash"/>
            </a:ln>
          </c:spPr>
          <c:marker>
            <c:symbol val="none"/>
          </c:marker>
          <c:xVal>
            <c:numRef>
              <c:f>PAK!$E$57:$E$58</c:f>
              <c:numCache>
                <c:formatCode>m/d/yyyy</c:formatCode>
                <c:ptCount val="2"/>
                <c:pt idx="0">
                  <c:v>1</c:v>
                </c:pt>
                <c:pt idx="1">
                  <c:v>73415</c:v>
                </c:pt>
              </c:numCache>
            </c:numRef>
          </c:xVal>
          <c:yVal>
            <c:numRef>
              <c:f>PAK!$J$57:$J$58</c:f>
              <c:numCache>
                <c:formatCode>0.000</c:formatCode>
                <c:ptCount val="2"/>
                <c:pt idx="0">
                  <c:v>0</c:v>
                </c:pt>
                <c:pt idx="1">
                  <c:v>0</c:v>
                </c:pt>
              </c:numCache>
            </c:numRef>
          </c:yVal>
          <c:smooth val="0"/>
          <c:extLst>
            <c:ext xmlns:c16="http://schemas.microsoft.com/office/drawing/2014/chart" uri="{C3380CC4-5D6E-409C-BE32-E72D297353CC}">
              <c16:uniqueId val="{00000002-E57D-4D72-8A47-E3F80274F3C9}"/>
            </c:ext>
          </c:extLst>
        </c:ser>
        <c:ser>
          <c:idx val="9"/>
          <c:order val="3"/>
          <c:tx>
            <c:v>vT</c:v>
          </c:tx>
          <c:spPr>
            <a:ln w="12700">
              <a:solidFill>
                <a:srgbClr val="808080"/>
              </a:solidFill>
              <a:prstDash val="sysDash"/>
            </a:ln>
          </c:spPr>
          <c:marker>
            <c:symbol val="none"/>
          </c:marker>
          <c:xVal>
            <c:numRef>
              <c:f>PAK!$G$122:$G$123</c:f>
              <c:numCache>
                <c:formatCode>d/m/yyyy;@</c:formatCode>
                <c:ptCount val="2"/>
                <c:pt idx="0">
                  <c:v>0</c:v>
                </c:pt>
                <c:pt idx="1">
                  <c:v>0</c:v>
                </c:pt>
              </c:numCache>
            </c:numRef>
          </c:xVal>
          <c:yVal>
            <c:numRef>
              <c:f>PAK!$I$122:$I$123</c:f>
              <c:numCache>
                <c:formatCode>General</c:formatCode>
                <c:ptCount val="2"/>
                <c:pt idx="0">
                  <c:v>0</c:v>
                </c:pt>
                <c:pt idx="1">
                  <c:v>0</c:v>
                </c:pt>
              </c:numCache>
            </c:numRef>
          </c:yVal>
          <c:smooth val="0"/>
          <c:extLst>
            <c:ext xmlns:c16="http://schemas.microsoft.com/office/drawing/2014/chart" uri="{C3380CC4-5D6E-409C-BE32-E72D297353CC}">
              <c16:uniqueId val="{00000003-E57D-4D72-8A47-E3F80274F3C9}"/>
            </c:ext>
          </c:extLst>
        </c:ser>
        <c:ser>
          <c:idx val="10"/>
          <c:order val="4"/>
          <c:tx>
            <c:v>Trend</c:v>
          </c:tx>
          <c:spPr>
            <a:ln w="12700">
              <a:solidFill>
                <a:srgbClr val="808080"/>
              </a:solidFill>
              <a:prstDash val="solid"/>
            </a:ln>
          </c:spPr>
          <c:marker>
            <c:symbol val="none"/>
          </c:marker>
          <c:xVal>
            <c:numRef>
              <c:f>PAK!$G$122:$G$123</c:f>
              <c:numCache>
                <c:formatCode>d/m/yyyy;@</c:formatCode>
                <c:ptCount val="2"/>
                <c:pt idx="0">
                  <c:v>0</c:v>
                </c:pt>
                <c:pt idx="1">
                  <c:v>0</c:v>
                </c:pt>
              </c:numCache>
            </c:numRef>
          </c:xVal>
          <c:yVal>
            <c:numRef>
              <c:f>PAK!$J$122:$J$123</c:f>
              <c:numCache>
                <c:formatCode>General</c:formatCode>
                <c:ptCount val="2"/>
                <c:pt idx="0">
                  <c:v>0</c:v>
                </c:pt>
                <c:pt idx="1">
                  <c:v>0</c:v>
                </c:pt>
              </c:numCache>
            </c:numRef>
          </c:yVal>
          <c:smooth val="0"/>
          <c:extLst>
            <c:ext xmlns:c16="http://schemas.microsoft.com/office/drawing/2014/chart" uri="{C3380CC4-5D6E-409C-BE32-E72D297353CC}">
              <c16:uniqueId val="{00000004-E57D-4D72-8A47-E3F80274F3C9}"/>
            </c:ext>
          </c:extLst>
        </c:ser>
        <c:ser>
          <c:idx val="2"/>
          <c:order val="5"/>
          <c:tx>
            <c:v>Q95u</c:v>
          </c:tx>
          <c:spPr>
            <a:ln w="12700">
              <a:solidFill>
                <a:srgbClr val="0000FF"/>
              </a:solidFill>
              <a:prstDash val="sysDash"/>
            </a:ln>
          </c:spPr>
          <c:marker>
            <c:symbol val="none"/>
          </c:marker>
          <c:xVal>
            <c:numRef>
              <c:f>PAK!$E$57:$E$58</c:f>
              <c:numCache>
                <c:formatCode>m/d/yyyy</c:formatCode>
                <c:ptCount val="2"/>
                <c:pt idx="0">
                  <c:v>1</c:v>
                </c:pt>
                <c:pt idx="1">
                  <c:v>73415</c:v>
                </c:pt>
              </c:numCache>
            </c:numRef>
          </c:xVal>
          <c:yVal>
            <c:numRef>
              <c:f>PAK!$G$57:$G$58</c:f>
              <c:numCache>
                <c:formatCode>0.000</c:formatCode>
                <c:ptCount val="2"/>
                <c:pt idx="0">
                  <c:v>0</c:v>
                </c:pt>
                <c:pt idx="1">
                  <c:v>0</c:v>
                </c:pt>
              </c:numCache>
            </c:numRef>
          </c:yVal>
          <c:smooth val="0"/>
          <c:extLst>
            <c:ext xmlns:c16="http://schemas.microsoft.com/office/drawing/2014/chart" uri="{C3380CC4-5D6E-409C-BE32-E72D297353CC}">
              <c16:uniqueId val="{00000005-E57D-4D72-8A47-E3F80274F3C9}"/>
            </c:ext>
          </c:extLst>
        </c:ser>
        <c:ser>
          <c:idx val="3"/>
          <c:order val="6"/>
          <c:tx>
            <c:v>Q98</c:v>
          </c:tx>
          <c:spPr>
            <a:ln w="12700">
              <a:solidFill>
                <a:srgbClr val="0000FF"/>
              </a:solidFill>
              <a:prstDash val="solid"/>
            </a:ln>
          </c:spPr>
          <c:marker>
            <c:symbol val="none"/>
          </c:marker>
          <c:xVal>
            <c:numRef>
              <c:f>PAK!$E$57:$E$58</c:f>
              <c:numCache>
                <c:formatCode>m/d/yyyy</c:formatCode>
                <c:ptCount val="2"/>
                <c:pt idx="0">
                  <c:v>1</c:v>
                </c:pt>
                <c:pt idx="1">
                  <c:v>73415</c:v>
                </c:pt>
              </c:numCache>
            </c:numRef>
          </c:xVal>
          <c:yVal>
            <c:numRef>
              <c:f>PAK!$H$57:$H$58</c:f>
              <c:numCache>
                <c:formatCode>0.000</c:formatCode>
                <c:ptCount val="2"/>
                <c:pt idx="0">
                  <c:v>0</c:v>
                </c:pt>
                <c:pt idx="1">
                  <c:v>0</c:v>
                </c:pt>
              </c:numCache>
            </c:numRef>
          </c:yVal>
          <c:smooth val="0"/>
          <c:extLst>
            <c:ext xmlns:c16="http://schemas.microsoft.com/office/drawing/2014/chart" uri="{C3380CC4-5D6E-409C-BE32-E72D297353CC}">
              <c16:uniqueId val="{00000006-E57D-4D72-8A47-E3F80274F3C9}"/>
            </c:ext>
          </c:extLst>
        </c:ser>
        <c:ser>
          <c:idx val="6"/>
          <c:order val="7"/>
          <c:tx>
            <c:v>Q98Log</c:v>
          </c:tx>
          <c:spPr>
            <a:ln w="12700">
              <a:solidFill>
                <a:srgbClr val="CC00FF"/>
              </a:solidFill>
            </a:ln>
          </c:spPr>
          <c:marker>
            <c:symbol val="none"/>
          </c:marker>
          <c:xVal>
            <c:numRef>
              <c:f>PAK!$E$57:$E$58</c:f>
              <c:numCache>
                <c:formatCode>m/d/yyyy</c:formatCode>
                <c:ptCount val="2"/>
                <c:pt idx="0">
                  <c:v>1</c:v>
                </c:pt>
                <c:pt idx="1">
                  <c:v>73415</c:v>
                </c:pt>
              </c:numCache>
            </c:numRef>
          </c:xVal>
          <c:yVal>
            <c:numRef>
              <c:f>PAK!$K$57:$K$58</c:f>
              <c:numCache>
                <c:formatCode>0.000</c:formatCode>
                <c:ptCount val="2"/>
                <c:pt idx="0">
                  <c:v>0</c:v>
                </c:pt>
                <c:pt idx="1">
                  <c:v>0</c:v>
                </c:pt>
              </c:numCache>
            </c:numRef>
          </c:yVal>
          <c:smooth val="0"/>
          <c:extLst>
            <c:ext xmlns:c16="http://schemas.microsoft.com/office/drawing/2014/chart" uri="{C3380CC4-5D6E-409C-BE32-E72D297353CC}">
              <c16:uniqueId val="{00000007-E57D-4D72-8A47-E3F80274F3C9}"/>
            </c:ext>
          </c:extLst>
        </c:ser>
        <c:dLbls>
          <c:showLegendKey val="0"/>
          <c:showVal val="0"/>
          <c:showCatName val="0"/>
          <c:showSerName val="0"/>
          <c:showPercent val="0"/>
          <c:showBubbleSize val="0"/>
        </c:dLbls>
        <c:axId val="155681920"/>
        <c:axId val="155683456"/>
      </c:scatterChart>
      <c:valAx>
        <c:axId val="155681920"/>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5683456"/>
        <c:crossesAt val="0"/>
        <c:crossBetween val="midCat"/>
        <c:majorUnit val="1461"/>
        <c:minorUnit val="365.25"/>
      </c:valAx>
      <c:valAx>
        <c:axId val="155683456"/>
        <c:scaling>
          <c:orientation val="minMax"/>
          <c:max val="0.5"/>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5681920"/>
        <c:crossesAt val="0"/>
        <c:crossBetween val="midCat"/>
        <c:majorUnit val="0.1"/>
        <c:minorUnit val="5.000000000000001E-2"/>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AOX!$F$63:$F$113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AOX!$G$63:$G$113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2167-43EF-ABBE-C1E6EC3887FA}"/>
            </c:ext>
          </c:extLst>
        </c:ser>
        <c:ser>
          <c:idx val="1"/>
          <c:order val="1"/>
          <c:tx>
            <c:v>LogNormalverteilung</c:v>
          </c:tx>
          <c:spPr>
            <a:ln w="25400">
              <a:solidFill>
                <a:srgbClr val="FF00FF"/>
              </a:solidFill>
              <a:prstDash val="solid"/>
            </a:ln>
          </c:spPr>
          <c:marker>
            <c:symbol val="none"/>
          </c:marker>
          <c:xVal>
            <c:numRef>
              <c:f>AOX!$I$63:$I$113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AOX!$J$63:$J$113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2167-43EF-ABBE-C1E6EC3887FA}"/>
            </c:ext>
          </c:extLst>
        </c:ser>
        <c:ser>
          <c:idx val="2"/>
          <c:order val="2"/>
          <c:tx>
            <c:v>Histogramm</c:v>
          </c:tx>
          <c:spPr>
            <a:ln w="25400">
              <a:solidFill>
                <a:srgbClr val="969696"/>
              </a:solidFill>
              <a:prstDash val="lgDashDot"/>
            </a:ln>
          </c:spPr>
          <c:marker>
            <c:symbol val="none"/>
          </c:marker>
          <c:xVal>
            <c:numRef>
              <c:f>AOX!$T$46:$T$97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AOX!$U$46:$U$97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2167-43EF-ABBE-C1E6EC3887FA}"/>
            </c:ext>
          </c:extLst>
        </c:ser>
        <c:ser>
          <c:idx val="3"/>
          <c:order val="3"/>
          <c:tx>
            <c:v>Q95 No</c:v>
          </c:tx>
          <c:spPr>
            <a:ln w="12700">
              <a:solidFill>
                <a:srgbClr val="0000FF"/>
              </a:solidFill>
              <a:prstDash val="sysDash"/>
            </a:ln>
          </c:spPr>
          <c:marker>
            <c:symbol val="none"/>
          </c:marker>
          <c:xVal>
            <c:numRef>
              <c:f>AOX!$U$3:$V$3</c:f>
              <c:numCache>
                <c:formatCode>0.000</c:formatCode>
                <c:ptCount val="2"/>
                <c:pt idx="0">
                  <c:v>0</c:v>
                </c:pt>
                <c:pt idx="1">
                  <c:v>0</c:v>
                </c:pt>
              </c:numCache>
            </c:numRef>
          </c:xVal>
          <c:yVal>
            <c:numRef>
              <c:f>AOX!$U$2:$V$2</c:f>
              <c:numCache>
                <c:formatCode>General</c:formatCode>
                <c:ptCount val="2"/>
                <c:pt idx="0">
                  <c:v>0</c:v>
                </c:pt>
                <c:pt idx="1">
                  <c:v>1000</c:v>
                </c:pt>
              </c:numCache>
            </c:numRef>
          </c:yVal>
          <c:smooth val="0"/>
          <c:extLst>
            <c:ext xmlns:c16="http://schemas.microsoft.com/office/drawing/2014/chart" uri="{C3380CC4-5D6E-409C-BE32-E72D297353CC}">
              <c16:uniqueId val="{00000003-2167-43EF-ABBE-C1E6EC3887FA}"/>
            </c:ext>
          </c:extLst>
        </c:ser>
        <c:ser>
          <c:idx val="4"/>
          <c:order val="4"/>
          <c:tx>
            <c:v>Q95 Lo</c:v>
          </c:tx>
          <c:spPr>
            <a:ln w="12700">
              <a:solidFill>
                <a:srgbClr val="FF00FF"/>
              </a:solidFill>
              <a:prstDash val="sysDash"/>
            </a:ln>
          </c:spPr>
          <c:marker>
            <c:symbol val="none"/>
          </c:marker>
          <c:xVal>
            <c:numRef>
              <c:f>AOX!$U$4:$V$4</c:f>
              <c:numCache>
                <c:formatCode>0.000</c:formatCode>
                <c:ptCount val="2"/>
                <c:pt idx="0">
                  <c:v>0</c:v>
                </c:pt>
                <c:pt idx="1">
                  <c:v>0</c:v>
                </c:pt>
              </c:numCache>
            </c:numRef>
          </c:xVal>
          <c:yVal>
            <c:numRef>
              <c:f>AOX!$U$2:$V$2</c:f>
              <c:numCache>
                <c:formatCode>General</c:formatCode>
                <c:ptCount val="2"/>
                <c:pt idx="0">
                  <c:v>0</c:v>
                </c:pt>
                <c:pt idx="1">
                  <c:v>1000</c:v>
                </c:pt>
              </c:numCache>
            </c:numRef>
          </c:yVal>
          <c:smooth val="0"/>
          <c:extLst>
            <c:ext xmlns:c16="http://schemas.microsoft.com/office/drawing/2014/chart" uri="{C3380CC4-5D6E-409C-BE32-E72D297353CC}">
              <c16:uniqueId val="{00000004-2167-43EF-ABBE-C1E6EC3887FA}"/>
            </c:ext>
          </c:extLst>
        </c:ser>
        <c:ser>
          <c:idx val="5"/>
          <c:order val="5"/>
          <c:tx>
            <c:v>Q98 No</c:v>
          </c:tx>
          <c:spPr>
            <a:ln w="12700">
              <a:solidFill>
                <a:srgbClr val="0000FF"/>
              </a:solidFill>
              <a:prstDash val="solid"/>
            </a:ln>
          </c:spPr>
          <c:marker>
            <c:symbol val="none"/>
          </c:marker>
          <c:xVal>
            <c:numRef>
              <c:f>AOX!$U$5:$V$5</c:f>
              <c:numCache>
                <c:formatCode>0.000</c:formatCode>
                <c:ptCount val="2"/>
                <c:pt idx="0">
                  <c:v>0</c:v>
                </c:pt>
                <c:pt idx="1">
                  <c:v>0</c:v>
                </c:pt>
              </c:numCache>
            </c:numRef>
          </c:xVal>
          <c:yVal>
            <c:numRef>
              <c:f>AOX!$U$2:$V$2</c:f>
              <c:numCache>
                <c:formatCode>General</c:formatCode>
                <c:ptCount val="2"/>
                <c:pt idx="0">
                  <c:v>0</c:v>
                </c:pt>
                <c:pt idx="1">
                  <c:v>1000</c:v>
                </c:pt>
              </c:numCache>
            </c:numRef>
          </c:yVal>
          <c:smooth val="0"/>
          <c:extLst>
            <c:ext xmlns:c16="http://schemas.microsoft.com/office/drawing/2014/chart" uri="{C3380CC4-5D6E-409C-BE32-E72D297353CC}">
              <c16:uniqueId val="{00000005-2167-43EF-ABBE-C1E6EC3887FA}"/>
            </c:ext>
          </c:extLst>
        </c:ser>
        <c:ser>
          <c:idx val="6"/>
          <c:order val="6"/>
          <c:tx>
            <c:v>Q98 Lo</c:v>
          </c:tx>
          <c:spPr>
            <a:ln w="12700">
              <a:solidFill>
                <a:srgbClr val="FF00FF"/>
              </a:solidFill>
              <a:prstDash val="solid"/>
            </a:ln>
          </c:spPr>
          <c:marker>
            <c:symbol val="none"/>
          </c:marker>
          <c:xVal>
            <c:numRef>
              <c:f>AOX!$U$6:$V$6</c:f>
              <c:numCache>
                <c:formatCode>0.000</c:formatCode>
                <c:ptCount val="2"/>
                <c:pt idx="0">
                  <c:v>0</c:v>
                </c:pt>
                <c:pt idx="1">
                  <c:v>0</c:v>
                </c:pt>
              </c:numCache>
            </c:numRef>
          </c:xVal>
          <c:yVal>
            <c:numRef>
              <c:f>AOX!$U$2:$V$2</c:f>
              <c:numCache>
                <c:formatCode>General</c:formatCode>
                <c:ptCount val="2"/>
                <c:pt idx="0">
                  <c:v>0</c:v>
                </c:pt>
                <c:pt idx="1">
                  <c:v>1000</c:v>
                </c:pt>
              </c:numCache>
            </c:numRef>
          </c:yVal>
          <c:smooth val="0"/>
          <c:extLst>
            <c:ext xmlns:c16="http://schemas.microsoft.com/office/drawing/2014/chart" uri="{C3380CC4-5D6E-409C-BE32-E72D297353CC}">
              <c16:uniqueId val="{00000006-2167-43EF-ABBE-C1E6EC3887FA}"/>
            </c:ext>
          </c:extLst>
        </c:ser>
        <c:ser>
          <c:idx val="7"/>
          <c:order val="7"/>
          <c:tx>
            <c:v>Q95u</c:v>
          </c:tx>
          <c:spPr>
            <a:ln w="12700">
              <a:solidFill>
                <a:srgbClr val="0000FF"/>
              </a:solidFill>
              <a:prstDash val="sysDash"/>
            </a:ln>
          </c:spPr>
          <c:marker>
            <c:symbol val="none"/>
          </c:marker>
          <c:xVal>
            <c:numRef>
              <c:f>AOX!$U$7:$V$7</c:f>
              <c:numCache>
                <c:formatCode>0.000</c:formatCode>
                <c:ptCount val="2"/>
                <c:pt idx="0">
                  <c:v>0</c:v>
                </c:pt>
                <c:pt idx="1">
                  <c:v>0</c:v>
                </c:pt>
              </c:numCache>
            </c:numRef>
          </c:xVal>
          <c:yVal>
            <c:numRef>
              <c:f>AOX!$U$2:$V$2</c:f>
              <c:numCache>
                <c:formatCode>General</c:formatCode>
                <c:ptCount val="2"/>
                <c:pt idx="0">
                  <c:v>0</c:v>
                </c:pt>
                <c:pt idx="1">
                  <c:v>1000</c:v>
                </c:pt>
              </c:numCache>
            </c:numRef>
          </c:yVal>
          <c:smooth val="0"/>
          <c:extLst>
            <c:ext xmlns:c16="http://schemas.microsoft.com/office/drawing/2014/chart" uri="{C3380CC4-5D6E-409C-BE32-E72D297353CC}">
              <c16:uniqueId val="{00000007-2167-43EF-ABBE-C1E6EC3887FA}"/>
            </c:ext>
          </c:extLst>
        </c:ser>
        <c:ser>
          <c:idx val="8"/>
          <c:order val="8"/>
          <c:tx>
            <c:v>Q95u Lo</c:v>
          </c:tx>
          <c:spPr>
            <a:ln w="12700">
              <a:solidFill>
                <a:srgbClr val="FF00FF"/>
              </a:solidFill>
              <a:prstDash val="sysDash"/>
            </a:ln>
          </c:spPr>
          <c:marker>
            <c:symbol val="none"/>
          </c:marker>
          <c:xVal>
            <c:numRef>
              <c:f>AOX!$U$8:$V$8</c:f>
              <c:numCache>
                <c:formatCode>0.000</c:formatCode>
                <c:ptCount val="2"/>
                <c:pt idx="0">
                  <c:v>0</c:v>
                </c:pt>
                <c:pt idx="1">
                  <c:v>0</c:v>
                </c:pt>
              </c:numCache>
            </c:numRef>
          </c:xVal>
          <c:yVal>
            <c:numRef>
              <c:f>AOX!$U$2:$V$2</c:f>
              <c:numCache>
                <c:formatCode>General</c:formatCode>
                <c:ptCount val="2"/>
                <c:pt idx="0">
                  <c:v>0</c:v>
                </c:pt>
                <c:pt idx="1">
                  <c:v>1000</c:v>
                </c:pt>
              </c:numCache>
            </c:numRef>
          </c:yVal>
          <c:smooth val="0"/>
          <c:extLst>
            <c:ext xmlns:c16="http://schemas.microsoft.com/office/drawing/2014/chart" uri="{C3380CC4-5D6E-409C-BE32-E72D297353CC}">
              <c16:uniqueId val="{00000008-2167-43EF-ABBE-C1E6EC3887FA}"/>
            </c:ext>
          </c:extLst>
        </c:ser>
        <c:ser>
          <c:idx val="9"/>
          <c:order val="9"/>
          <c:tx>
            <c:v>Median</c:v>
          </c:tx>
          <c:spPr>
            <a:ln w="12700">
              <a:solidFill>
                <a:srgbClr val="969696"/>
              </a:solidFill>
              <a:prstDash val="lgDashDotDot"/>
            </a:ln>
          </c:spPr>
          <c:marker>
            <c:symbol val="none"/>
          </c:marker>
          <c:xVal>
            <c:numRef>
              <c:f>AOX!$U$11:$V$11</c:f>
              <c:numCache>
                <c:formatCode>0.000</c:formatCode>
                <c:ptCount val="2"/>
                <c:pt idx="0">
                  <c:v>0</c:v>
                </c:pt>
                <c:pt idx="1">
                  <c:v>0</c:v>
                </c:pt>
              </c:numCache>
            </c:numRef>
          </c:xVal>
          <c:yVal>
            <c:numRef>
              <c:f>AOX!$U$2:$V$2</c:f>
              <c:numCache>
                <c:formatCode>General</c:formatCode>
                <c:ptCount val="2"/>
                <c:pt idx="0">
                  <c:v>0</c:v>
                </c:pt>
                <c:pt idx="1">
                  <c:v>1000</c:v>
                </c:pt>
              </c:numCache>
            </c:numRef>
          </c:yVal>
          <c:smooth val="0"/>
          <c:extLst>
            <c:ext xmlns:c16="http://schemas.microsoft.com/office/drawing/2014/chart" uri="{C3380CC4-5D6E-409C-BE32-E72D297353CC}">
              <c16:uniqueId val="{00000009-2167-43EF-ABBE-C1E6EC3887FA}"/>
            </c:ext>
          </c:extLst>
        </c:ser>
        <c:dLbls>
          <c:showLegendKey val="0"/>
          <c:showVal val="0"/>
          <c:showCatName val="0"/>
          <c:showSerName val="0"/>
          <c:showPercent val="0"/>
          <c:showBubbleSize val="0"/>
        </c:dLbls>
        <c:axId val="154702208"/>
        <c:axId val="154703744"/>
      </c:scatterChart>
      <c:valAx>
        <c:axId val="154702208"/>
        <c:scaling>
          <c:orientation val="minMax"/>
          <c:max val="1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4703744"/>
        <c:crosses val="autoZero"/>
        <c:crossBetween val="midCat"/>
        <c:majorUnit val="50"/>
        <c:minorUnit val="10"/>
      </c:valAx>
      <c:valAx>
        <c:axId val="154703744"/>
        <c:scaling>
          <c:orientation val="minMax"/>
          <c:max val="0.1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4702208"/>
        <c:crosses val="autoZero"/>
        <c:crossBetween val="midCat"/>
        <c:majorUnit val="0.05"/>
        <c:minorUnit val="0.05"/>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AOX!$M$3:$M$252</c:f>
              <c:numCache>
                <c:formatCode>d/m/yyyy;@</c:formatCode>
                <c:ptCount val="250"/>
              </c:numCache>
            </c:numRef>
          </c:xVal>
          <c:yVal>
            <c:numRef>
              <c:f>AOX!$N$3:$N$252</c:f>
              <c:numCache>
                <c:formatCode>General</c:formatCode>
                <c:ptCount val="250"/>
              </c:numCache>
            </c:numRef>
          </c:yVal>
          <c:smooth val="0"/>
          <c:extLst>
            <c:ext xmlns:c16="http://schemas.microsoft.com/office/drawing/2014/chart" uri="{C3380CC4-5D6E-409C-BE32-E72D297353CC}">
              <c16:uniqueId val="{00000000-7CF3-42EB-AFE0-A9D62EA10863}"/>
            </c:ext>
          </c:extLst>
        </c:ser>
        <c:ser>
          <c:idx val="1"/>
          <c:order val="1"/>
          <c:tx>
            <c:v>Q95</c:v>
          </c:tx>
          <c:spPr>
            <a:ln w="12700">
              <a:solidFill>
                <a:srgbClr val="0000FF"/>
              </a:solidFill>
              <a:prstDash val="sysDash"/>
            </a:ln>
          </c:spPr>
          <c:marker>
            <c:symbol val="none"/>
          </c:marker>
          <c:xVal>
            <c:numRef>
              <c:f>AOX!$E$57:$E$58</c:f>
              <c:numCache>
                <c:formatCode>m/d/yyyy</c:formatCode>
                <c:ptCount val="2"/>
                <c:pt idx="0">
                  <c:v>1</c:v>
                </c:pt>
                <c:pt idx="1">
                  <c:v>73415</c:v>
                </c:pt>
              </c:numCache>
            </c:numRef>
          </c:xVal>
          <c:yVal>
            <c:numRef>
              <c:f>AOX!$F$57:$F$58</c:f>
              <c:numCache>
                <c:formatCode>0.000</c:formatCode>
                <c:ptCount val="2"/>
                <c:pt idx="0">
                  <c:v>0</c:v>
                </c:pt>
                <c:pt idx="1">
                  <c:v>0</c:v>
                </c:pt>
              </c:numCache>
            </c:numRef>
          </c:yVal>
          <c:smooth val="0"/>
          <c:extLst>
            <c:ext xmlns:c16="http://schemas.microsoft.com/office/drawing/2014/chart" uri="{C3380CC4-5D6E-409C-BE32-E72D297353CC}">
              <c16:uniqueId val="{00000001-7CF3-42EB-AFE0-A9D62EA10863}"/>
            </c:ext>
          </c:extLst>
        </c:ser>
        <c:ser>
          <c:idx val="4"/>
          <c:order val="2"/>
          <c:tx>
            <c:v>Q95Log</c:v>
          </c:tx>
          <c:spPr>
            <a:ln w="12700">
              <a:solidFill>
                <a:srgbClr val="FF00FF"/>
              </a:solidFill>
              <a:prstDash val="sysDash"/>
            </a:ln>
          </c:spPr>
          <c:marker>
            <c:symbol val="none"/>
          </c:marker>
          <c:xVal>
            <c:numRef>
              <c:f>AOX!$E$57:$E$58</c:f>
              <c:numCache>
                <c:formatCode>m/d/yyyy</c:formatCode>
                <c:ptCount val="2"/>
                <c:pt idx="0">
                  <c:v>1</c:v>
                </c:pt>
                <c:pt idx="1">
                  <c:v>73415</c:v>
                </c:pt>
              </c:numCache>
            </c:numRef>
          </c:xVal>
          <c:yVal>
            <c:numRef>
              <c:f>AOX!$J$57:$J$58</c:f>
              <c:numCache>
                <c:formatCode>0.000</c:formatCode>
                <c:ptCount val="2"/>
                <c:pt idx="0">
                  <c:v>0</c:v>
                </c:pt>
                <c:pt idx="1">
                  <c:v>0</c:v>
                </c:pt>
              </c:numCache>
            </c:numRef>
          </c:yVal>
          <c:smooth val="0"/>
          <c:extLst>
            <c:ext xmlns:c16="http://schemas.microsoft.com/office/drawing/2014/chart" uri="{C3380CC4-5D6E-409C-BE32-E72D297353CC}">
              <c16:uniqueId val="{00000002-7CF3-42EB-AFE0-A9D62EA10863}"/>
            </c:ext>
          </c:extLst>
        </c:ser>
        <c:ser>
          <c:idx val="9"/>
          <c:order val="3"/>
          <c:tx>
            <c:v>vT</c:v>
          </c:tx>
          <c:spPr>
            <a:ln w="12700">
              <a:solidFill>
                <a:srgbClr val="808080"/>
              </a:solidFill>
              <a:prstDash val="sysDash"/>
            </a:ln>
          </c:spPr>
          <c:marker>
            <c:symbol val="none"/>
          </c:marker>
          <c:xVal>
            <c:numRef>
              <c:f>AOX!$G$122:$G$123</c:f>
              <c:numCache>
                <c:formatCode>d/m/yyyy;@</c:formatCode>
                <c:ptCount val="2"/>
                <c:pt idx="0">
                  <c:v>0</c:v>
                </c:pt>
                <c:pt idx="1">
                  <c:v>0</c:v>
                </c:pt>
              </c:numCache>
            </c:numRef>
          </c:xVal>
          <c:yVal>
            <c:numRef>
              <c:f>AOX!$I$122:$I$123</c:f>
              <c:numCache>
                <c:formatCode>General</c:formatCode>
                <c:ptCount val="2"/>
                <c:pt idx="0">
                  <c:v>0</c:v>
                </c:pt>
                <c:pt idx="1">
                  <c:v>0</c:v>
                </c:pt>
              </c:numCache>
            </c:numRef>
          </c:yVal>
          <c:smooth val="0"/>
          <c:extLst>
            <c:ext xmlns:c16="http://schemas.microsoft.com/office/drawing/2014/chart" uri="{C3380CC4-5D6E-409C-BE32-E72D297353CC}">
              <c16:uniqueId val="{00000003-7CF3-42EB-AFE0-A9D62EA10863}"/>
            </c:ext>
          </c:extLst>
        </c:ser>
        <c:ser>
          <c:idx val="10"/>
          <c:order val="4"/>
          <c:tx>
            <c:v>Trend</c:v>
          </c:tx>
          <c:spPr>
            <a:ln w="12700">
              <a:solidFill>
                <a:srgbClr val="808080"/>
              </a:solidFill>
              <a:prstDash val="solid"/>
            </a:ln>
          </c:spPr>
          <c:marker>
            <c:symbol val="none"/>
          </c:marker>
          <c:xVal>
            <c:numRef>
              <c:f>AOX!$G$122:$G$123</c:f>
              <c:numCache>
                <c:formatCode>d/m/yyyy;@</c:formatCode>
                <c:ptCount val="2"/>
                <c:pt idx="0">
                  <c:v>0</c:v>
                </c:pt>
                <c:pt idx="1">
                  <c:v>0</c:v>
                </c:pt>
              </c:numCache>
            </c:numRef>
          </c:xVal>
          <c:yVal>
            <c:numRef>
              <c:f>AOX!$J$122:$J$123</c:f>
              <c:numCache>
                <c:formatCode>General</c:formatCode>
                <c:ptCount val="2"/>
                <c:pt idx="0">
                  <c:v>0</c:v>
                </c:pt>
                <c:pt idx="1">
                  <c:v>0</c:v>
                </c:pt>
              </c:numCache>
            </c:numRef>
          </c:yVal>
          <c:smooth val="0"/>
          <c:extLst>
            <c:ext xmlns:c16="http://schemas.microsoft.com/office/drawing/2014/chart" uri="{C3380CC4-5D6E-409C-BE32-E72D297353CC}">
              <c16:uniqueId val="{00000004-7CF3-42EB-AFE0-A9D62EA10863}"/>
            </c:ext>
          </c:extLst>
        </c:ser>
        <c:ser>
          <c:idx val="2"/>
          <c:order val="5"/>
          <c:tx>
            <c:v>Q95u</c:v>
          </c:tx>
          <c:spPr>
            <a:ln w="12700">
              <a:solidFill>
                <a:srgbClr val="0000FF"/>
              </a:solidFill>
              <a:prstDash val="sysDash"/>
            </a:ln>
          </c:spPr>
          <c:marker>
            <c:symbol val="none"/>
          </c:marker>
          <c:xVal>
            <c:numRef>
              <c:f>AOX!$E$57:$E$58</c:f>
              <c:numCache>
                <c:formatCode>m/d/yyyy</c:formatCode>
                <c:ptCount val="2"/>
                <c:pt idx="0">
                  <c:v>1</c:v>
                </c:pt>
                <c:pt idx="1">
                  <c:v>73415</c:v>
                </c:pt>
              </c:numCache>
            </c:numRef>
          </c:xVal>
          <c:yVal>
            <c:numRef>
              <c:f>AOX!$G$57:$G$58</c:f>
              <c:numCache>
                <c:formatCode>0.000</c:formatCode>
                <c:ptCount val="2"/>
                <c:pt idx="0">
                  <c:v>0</c:v>
                </c:pt>
                <c:pt idx="1">
                  <c:v>0</c:v>
                </c:pt>
              </c:numCache>
            </c:numRef>
          </c:yVal>
          <c:smooth val="0"/>
          <c:extLst>
            <c:ext xmlns:c16="http://schemas.microsoft.com/office/drawing/2014/chart" uri="{C3380CC4-5D6E-409C-BE32-E72D297353CC}">
              <c16:uniqueId val="{00000005-7CF3-42EB-AFE0-A9D62EA10863}"/>
            </c:ext>
          </c:extLst>
        </c:ser>
        <c:ser>
          <c:idx val="3"/>
          <c:order val="6"/>
          <c:tx>
            <c:v>Q98</c:v>
          </c:tx>
          <c:spPr>
            <a:ln w="12700">
              <a:solidFill>
                <a:srgbClr val="0000FF"/>
              </a:solidFill>
              <a:prstDash val="solid"/>
            </a:ln>
          </c:spPr>
          <c:marker>
            <c:symbol val="none"/>
          </c:marker>
          <c:xVal>
            <c:numRef>
              <c:f>AOX!$E$57:$E$58</c:f>
              <c:numCache>
                <c:formatCode>m/d/yyyy</c:formatCode>
                <c:ptCount val="2"/>
                <c:pt idx="0">
                  <c:v>1</c:v>
                </c:pt>
                <c:pt idx="1">
                  <c:v>73415</c:v>
                </c:pt>
              </c:numCache>
            </c:numRef>
          </c:xVal>
          <c:yVal>
            <c:numRef>
              <c:f>AOX!$H$57:$H$58</c:f>
              <c:numCache>
                <c:formatCode>0.000</c:formatCode>
                <c:ptCount val="2"/>
                <c:pt idx="0">
                  <c:v>0</c:v>
                </c:pt>
                <c:pt idx="1">
                  <c:v>0</c:v>
                </c:pt>
              </c:numCache>
            </c:numRef>
          </c:yVal>
          <c:smooth val="0"/>
          <c:extLst>
            <c:ext xmlns:c16="http://schemas.microsoft.com/office/drawing/2014/chart" uri="{C3380CC4-5D6E-409C-BE32-E72D297353CC}">
              <c16:uniqueId val="{00000006-7CF3-42EB-AFE0-A9D62EA10863}"/>
            </c:ext>
          </c:extLst>
        </c:ser>
        <c:ser>
          <c:idx val="6"/>
          <c:order val="7"/>
          <c:tx>
            <c:v>Q98Log</c:v>
          </c:tx>
          <c:spPr>
            <a:ln w="12700">
              <a:solidFill>
                <a:srgbClr val="CC00FF"/>
              </a:solidFill>
            </a:ln>
          </c:spPr>
          <c:marker>
            <c:symbol val="none"/>
          </c:marker>
          <c:xVal>
            <c:numRef>
              <c:f>AOX!$E$57:$E$58</c:f>
              <c:numCache>
                <c:formatCode>m/d/yyyy</c:formatCode>
                <c:ptCount val="2"/>
                <c:pt idx="0">
                  <c:v>1</c:v>
                </c:pt>
                <c:pt idx="1">
                  <c:v>73415</c:v>
                </c:pt>
              </c:numCache>
            </c:numRef>
          </c:xVal>
          <c:yVal>
            <c:numRef>
              <c:f>AOX!$K$57:$K$58</c:f>
              <c:numCache>
                <c:formatCode>0.000</c:formatCode>
                <c:ptCount val="2"/>
                <c:pt idx="0">
                  <c:v>0</c:v>
                </c:pt>
                <c:pt idx="1">
                  <c:v>0</c:v>
                </c:pt>
              </c:numCache>
            </c:numRef>
          </c:yVal>
          <c:smooth val="0"/>
          <c:extLst>
            <c:ext xmlns:c16="http://schemas.microsoft.com/office/drawing/2014/chart" uri="{C3380CC4-5D6E-409C-BE32-E72D297353CC}">
              <c16:uniqueId val="{00000007-7CF3-42EB-AFE0-A9D62EA10863}"/>
            </c:ext>
          </c:extLst>
        </c:ser>
        <c:dLbls>
          <c:showLegendKey val="0"/>
          <c:showVal val="0"/>
          <c:showCatName val="0"/>
          <c:showSerName val="0"/>
          <c:showPercent val="0"/>
          <c:showBubbleSize val="0"/>
        </c:dLbls>
        <c:axId val="156134016"/>
        <c:axId val="156135808"/>
      </c:scatterChart>
      <c:valAx>
        <c:axId val="156134016"/>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6135808"/>
        <c:crossesAt val="0"/>
        <c:crossBetween val="midCat"/>
        <c:majorUnit val="1461"/>
        <c:minorUnit val="365.25"/>
      </c:valAx>
      <c:valAx>
        <c:axId val="156135808"/>
        <c:scaling>
          <c:orientation val="minMax"/>
          <c:max val="1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6134016"/>
        <c:crossesAt val="0"/>
        <c:crossBetween val="midCat"/>
        <c:majorUnit val="20"/>
        <c:minorUnit val="10"/>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Arsen!$F$63:$F$113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Arsen!$G$63:$G$113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9B3A-4E0F-8097-B6F7B8BEF952}"/>
            </c:ext>
          </c:extLst>
        </c:ser>
        <c:ser>
          <c:idx val="1"/>
          <c:order val="1"/>
          <c:tx>
            <c:v>LogNormalverteilung</c:v>
          </c:tx>
          <c:spPr>
            <a:ln w="25400">
              <a:solidFill>
                <a:srgbClr val="FF00FF"/>
              </a:solidFill>
              <a:prstDash val="solid"/>
            </a:ln>
          </c:spPr>
          <c:marker>
            <c:symbol val="none"/>
          </c:marker>
          <c:xVal>
            <c:numRef>
              <c:f>Arsen!$I$63:$I$113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Arsen!$J$63:$J$113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9B3A-4E0F-8097-B6F7B8BEF952}"/>
            </c:ext>
          </c:extLst>
        </c:ser>
        <c:ser>
          <c:idx val="2"/>
          <c:order val="2"/>
          <c:tx>
            <c:v>Histogramm</c:v>
          </c:tx>
          <c:spPr>
            <a:ln w="25400">
              <a:solidFill>
                <a:srgbClr val="969696"/>
              </a:solidFill>
              <a:prstDash val="lgDashDot"/>
            </a:ln>
          </c:spPr>
          <c:marker>
            <c:symbol val="none"/>
          </c:marker>
          <c:xVal>
            <c:numRef>
              <c:f>Arsen!$T$46:$T$97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Arsen!$U$46:$U$97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9B3A-4E0F-8097-B6F7B8BEF952}"/>
            </c:ext>
          </c:extLst>
        </c:ser>
        <c:ser>
          <c:idx val="3"/>
          <c:order val="3"/>
          <c:tx>
            <c:v>Q95 No</c:v>
          </c:tx>
          <c:spPr>
            <a:ln w="12700">
              <a:solidFill>
                <a:srgbClr val="0000FF"/>
              </a:solidFill>
              <a:prstDash val="sysDash"/>
            </a:ln>
          </c:spPr>
          <c:marker>
            <c:symbol val="none"/>
          </c:marker>
          <c:xVal>
            <c:numRef>
              <c:f>Arsen!$U$3:$V$3</c:f>
              <c:numCache>
                <c:formatCode>0.000</c:formatCode>
                <c:ptCount val="2"/>
                <c:pt idx="0">
                  <c:v>0</c:v>
                </c:pt>
                <c:pt idx="1">
                  <c:v>0</c:v>
                </c:pt>
              </c:numCache>
            </c:numRef>
          </c:xVal>
          <c:yVal>
            <c:numRef>
              <c:f>Arsen!$U$2:$V$2</c:f>
              <c:numCache>
                <c:formatCode>General</c:formatCode>
                <c:ptCount val="2"/>
                <c:pt idx="0">
                  <c:v>0</c:v>
                </c:pt>
                <c:pt idx="1">
                  <c:v>1000</c:v>
                </c:pt>
              </c:numCache>
            </c:numRef>
          </c:yVal>
          <c:smooth val="0"/>
          <c:extLst>
            <c:ext xmlns:c16="http://schemas.microsoft.com/office/drawing/2014/chart" uri="{C3380CC4-5D6E-409C-BE32-E72D297353CC}">
              <c16:uniqueId val="{00000003-9B3A-4E0F-8097-B6F7B8BEF952}"/>
            </c:ext>
          </c:extLst>
        </c:ser>
        <c:ser>
          <c:idx val="4"/>
          <c:order val="4"/>
          <c:tx>
            <c:v>Q95 Lo</c:v>
          </c:tx>
          <c:spPr>
            <a:ln w="12700">
              <a:solidFill>
                <a:srgbClr val="FF00FF"/>
              </a:solidFill>
              <a:prstDash val="sysDash"/>
            </a:ln>
          </c:spPr>
          <c:marker>
            <c:symbol val="none"/>
          </c:marker>
          <c:xVal>
            <c:numRef>
              <c:f>Arsen!$U$4:$V$4</c:f>
              <c:numCache>
                <c:formatCode>0.000</c:formatCode>
                <c:ptCount val="2"/>
                <c:pt idx="0">
                  <c:v>0</c:v>
                </c:pt>
                <c:pt idx="1">
                  <c:v>0</c:v>
                </c:pt>
              </c:numCache>
            </c:numRef>
          </c:xVal>
          <c:yVal>
            <c:numRef>
              <c:f>Arsen!$U$2:$V$2</c:f>
              <c:numCache>
                <c:formatCode>General</c:formatCode>
                <c:ptCount val="2"/>
                <c:pt idx="0">
                  <c:v>0</c:v>
                </c:pt>
                <c:pt idx="1">
                  <c:v>1000</c:v>
                </c:pt>
              </c:numCache>
            </c:numRef>
          </c:yVal>
          <c:smooth val="0"/>
          <c:extLst>
            <c:ext xmlns:c16="http://schemas.microsoft.com/office/drawing/2014/chart" uri="{C3380CC4-5D6E-409C-BE32-E72D297353CC}">
              <c16:uniqueId val="{00000004-9B3A-4E0F-8097-B6F7B8BEF952}"/>
            </c:ext>
          </c:extLst>
        </c:ser>
        <c:ser>
          <c:idx val="5"/>
          <c:order val="5"/>
          <c:tx>
            <c:v>Q98 No</c:v>
          </c:tx>
          <c:spPr>
            <a:ln w="12700">
              <a:solidFill>
                <a:srgbClr val="0000FF"/>
              </a:solidFill>
              <a:prstDash val="solid"/>
            </a:ln>
          </c:spPr>
          <c:marker>
            <c:symbol val="none"/>
          </c:marker>
          <c:xVal>
            <c:numRef>
              <c:f>Arsen!$U$5:$V$5</c:f>
              <c:numCache>
                <c:formatCode>0.000</c:formatCode>
                <c:ptCount val="2"/>
                <c:pt idx="0">
                  <c:v>0</c:v>
                </c:pt>
                <c:pt idx="1">
                  <c:v>0</c:v>
                </c:pt>
              </c:numCache>
            </c:numRef>
          </c:xVal>
          <c:yVal>
            <c:numRef>
              <c:f>Arsen!$U$2:$V$2</c:f>
              <c:numCache>
                <c:formatCode>General</c:formatCode>
                <c:ptCount val="2"/>
                <c:pt idx="0">
                  <c:v>0</c:v>
                </c:pt>
                <c:pt idx="1">
                  <c:v>1000</c:v>
                </c:pt>
              </c:numCache>
            </c:numRef>
          </c:yVal>
          <c:smooth val="0"/>
          <c:extLst>
            <c:ext xmlns:c16="http://schemas.microsoft.com/office/drawing/2014/chart" uri="{C3380CC4-5D6E-409C-BE32-E72D297353CC}">
              <c16:uniqueId val="{00000005-9B3A-4E0F-8097-B6F7B8BEF952}"/>
            </c:ext>
          </c:extLst>
        </c:ser>
        <c:ser>
          <c:idx val="6"/>
          <c:order val="6"/>
          <c:tx>
            <c:v>Q98 Lo</c:v>
          </c:tx>
          <c:spPr>
            <a:ln w="12700">
              <a:solidFill>
                <a:srgbClr val="FF00FF"/>
              </a:solidFill>
              <a:prstDash val="solid"/>
            </a:ln>
          </c:spPr>
          <c:marker>
            <c:symbol val="none"/>
          </c:marker>
          <c:xVal>
            <c:numRef>
              <c:f>Arsen!$U$6:$V$6</c:f>
              <c:numCache>
                <c:formatCode>0.000</c:formatCode>
                <c:ptCount val="2"/>
                <c:pt idx="0">
                  <c:v>0</c:v>
                </c:pt>
                <c:pt idx="1">
                  <c:v>0</c:v>
                </c:pt>
              </c:numCache>
            </c:numRef>
          </c:xVal>
          <c:yVal>
            <c:numRef>
              <c:f>Arsen!$U$2:$V$2</c:f>
              <c:numCache>
                <c:formatCode>General</c:formatCode>
                <c:ptCount val="2"/>
                <c:pt idx="0">
                  <c:v>0</c:v>
                </c:pt>
                <c:pt idx="1">
                  <c:v>1000</c:v>
                </c:pt>
              </c:numCache>
            </c:numRef>
          </c:yVal>
          <c:smooth val="0"/>
          <c:extLst>
            <c:ext xmlns:c16="http://schemas.microsoft.com/office/drawing/2014/chart" uri="{C3380CC4-5D6E-409C-BE32-E72D297353CC}">
              <c16:uniqueId val="{00000006-9B3A-4E0F-8097-B6F7B8BEF952}"/>
            </c:ext>
          </c:extLst>
        </c:ser>
        <c:ser>
          <c:idx val="7"/>
          <c:order val="7"/>
          <c:tx>
            <c:v>Q95u</c:v>
          </c:tx>
          <c:spPr>
            <a:ln w="12700">
              <a:solidFill>
                <a:srgbClr val="0000FF"/>
              </a:solidFill>
              <a:prstDash val="sysDash"/>
            </a:ln>
          </c:spPr>
          <c:marker>
            <c:symbol val="none"/>
          </c:marker>
          <c:xVal>
            <c:numRef>
              <c:f>Arsen!$U$7:$V$7</c:f>
              <c:numCache>
                <c:formatCode>0.000</c:formatCode>
                <c:ptCount val="2"/>
                <c:pt idx="0">
                  <c:v>0</c:v>
                </c:pt>
                <c:pt idx="1">
                  <c:v>0</c:v>
                </c:pt>
              </c:numCache>
            </c:numRef>
          </c:xVal>
          <c:yVal>
            <c:numRef>
              <c:f>Arsen!$U$2:$V$2</c:f>
              <c:numCache>
                <c:formatCode>General</c:formatCode>
                <c:ptCount val="2"/>
                <c:pt idx="0">
                  <c:v>0</c:v>
                </c:pt>
                <c:pt idx="1">
                  <c:v>1000</c:v>
                </c:pt>
              </c:numCache>
            </c:numRef>
          </c:yVal>
          <c:smooth val="0"/>
          <c:extLst>
            <c:ext xmlns:c16="http://schemas.microsoft.com/office/drawing/2014/chart" uri="{C3380CC4-5D6E-409C-BE32-E72D297353CC}">
              <c16:uniqueId val="{00000007-9B3A-4E0F-8097-B6F7B8BEF952}"/>
            </c:ext>
          </c:extLst>
        </c:ser>
        <c:ser>
          <c:idx val="8"/>
          <c:order val="8"/>
          <c:tx>
            <c:v>Q95u Lo</c:v>
          </c:tx>
          <c:spPr>
            <a:ln w="12700">
              <a:solidFill>
                <a:srgbClr val="FF00FF"/>
              </a:solidFill>
              <a:prstDash val="sysDash"/>
            </a:ln>
          </c:spPr>
          <c:marker>
            <c:symbol val="none"/>
          </c:marker>
          <c:xVal>
            <c:numRef>
              <c:f>Arsen!$U$8:$V$8</c:f>
              <c:numCache>
                <c:formatCode>0.000</c:formatCode>
                <c:ptCount val="2"/>
                <c:pt idx="0">
                  <c:v>0</c:v>
                </c:pt>
                <c:pt idx="1">
                  <c:v>0</c:v>
                </c:pt>
              </c:numCache>
            </c:numRef>
          </c:xVal>
          <c:yVal>
            <c:numRef>
              <c:f>Arsen!$U$2:$V$2</c:f>
              <c:numCache>
                <c:formatCode>General</c:formatCode>
                <c:ptCount val="2"/>
                <c:pt idx="0">
                  <c:v>0</c:v>
                </c:pt>
                <c:pt idx="1">
                  <c:v>1000</c:v>
                </c:pt>
              </c:numCache>
            </c:numRef>
          </c:yVal>
          <c:smooth val="0"/>
          <c:extLst>
            <c:ext xmlns:c16="http://schemas.microsoft.com/office/drawing/2014/chart" uri="{C3380CC4-5D6E-409C-BE32-E72D297353CC}">
              <c16:uniqueId val="{00000008-9B3A-4E0F-8097-B6F7B8BEF952}"/>
            </c:ext>
          </c:extLst>
        </c:ser>
        <c:ser>
          <c:idx val="9"/>
          <c:order val="9"/>
          <c:tx>
            <c:v>Median</c:v>
          </c:tx>
          <c:spPr>
            <a:ln w="12700">
              <a:solidFill>
                <a:srgbClr val="969696"/>
              </a:solidFill>
              <a:prstDash val="lgDashDotDot"/>
            </a:ln>
          </c:spPr>
          <c:marker>
            <c:symbol val="none"/>
          </c:marker>
          <c:xVal>
            <c:numRef>
              <c:f>Arsen!$U$11:$V$11</c:f>
              <c:numCache>
                <c:formatCode>0.000</c:formatCode>
                <c:ptCount val="2"/>
                <c:pt idx="0">
                  <c:v>0</c:v>
                </c:pt>
                <c:pt idx="1">
                  <c:v>0</c:v>
                </c:pt>
              </c:numCache>
            </c:numRef>
          </c:xVal>
          <c:yVal>
            <c:numRef>
              <c:f>Arsen!$U$2:$V$2</c:f>
              <c:numCache>
                <c:formatCode>General</c:formatCode>
                <c:ptCount val="2"/>
                <c:pt idx="0">
                  <c:v>0</c:v>
                </c:pt>
                <c:pt idx="1">
                  <c:v>1000</c:v>
                </c:pt>
              </c:numCache>
            </c:numRef>
          </c:yVal>
          <c:smooth val="0"/>
          <c:extLst>
            <c:ext xmlns:c16="http://schemas.microsoft.com/office/drawing/2014/chart" uri="{C3380CC4-5D6E-409C-BE32-E72D297353CC}">
              <c16:uniqueId val="{00000009-9B3A-4E0F-8097-B6F7B8BEF952}"/>
            </c:ext>
          </c:extLst>
        </c:ser>
        <c:dLbls>
          <c:showLegendKey val="0"/>
          <c:showVal val="0"/>
          <c:showCatName val="0"/>
          <c:showSerName val="0"/>
          <c:showPercent val="0"/>
          <c:showBubbleSize val="0"/>
        </c:dLbls>
        <c:axId val="153516288"/>
        <c:axId val="153526272"/>
      </c:scatterChart>
      <c:valAx>
        <c:axId val="153516288"/>
        <c:scaling>
          <c:orientation val="minMax"/>
          <c:max val="2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3526272"/>
        <c:crosses val="autoZero"/>
        <c:crossBetween val="midCat"/>
        <c:majorUnit val="5"/>
        <c:minorUnit val="1"/>
      </c:valAx>
      <c:valAx>
        <c:axId val="153526272"/>
        <c:scaling>
          <c:orientation val="minMax"/>
          <c:max val="0.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3516288"/>
        <c:crosses val="autoZero"/>
        <c:crossBetween val="midCat"/>
        <c:majorUnit val="5.000000000000001E-2"/>
        <c:minorUnit val="1.0000000000000002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Arsen!$M$3:$M$252</c:f>
              <c:numCache>
                <c:formatCode>d/m/yyyy;@</c:formatCode>
                <c:ptCount val="250"/>
              </c:numCache>
            </c:numRef>
          </c:xVal>
          <c:yVal>
            <c:numRef>
              <c:f>Arsen!$N$3:$N$252</c:f>
              <c:numCache>
                <c:formatCode>General</c:formatCode>
                <c:ptCount val="250"/>
              </c:numCache>
            </c:numRef>
          </c:yVal>
          <c:smooth val="0"/>
          <c:extLst>
            <c:ext xmlns:c16="http://schemas.microsoft.com/office/drawing/2014/chart" uri="{C3380CC4-5D6E-409C-BE32-E72D297353CC}">
              <c16:uniqueId val="{00000000-CFB9-4456-9334-2AD932BA0C05}"/>
            </c:ext>
          </c:extLst>
        </c:ser>
        <c:ser>
          <c:idx val="1"/>
          <c:order val="1"/>
          <c:tx>
            <c:v>Q95</c:v>
          </c:tx>
          <c:spPr>
            <a:ln w="12700">
              <a:solidFill>
                <a:srgbClr val="0000FF"/>
              </a:solidFill>
              <a:prstDash val="sysDash"/>
            </a:ln>
          </c:spPr>
          <c:marker>
            <c:symbol val="none"/>
          </c:marker>
          <c:xVal>
            <c:numRef>
              <c:f>Arsen!$E$57:$E$58</c:f>
              <c:numCache>
                <c:formatCode>m/d/yyyy</c:formatCode>
                <c:ptCount val="2"/>
                <c:pt idx="0">
                  <c:v>1</c:v>
                </c:pt>
                <c:pt idx="1">
                  <c:v>73415</c:v>
                </c:pt>
              </c:numCache>
            </c:numRef>
          </c:xVal>
          <c:yVal>
            <c:numRef>
              <c:f>Arsen!$F$57:$F$58</c:f>
              <c:numCache>
                <c:formatCode>0.000</c:formatCode>
                <c:ptCount val="2"/>
                <c:pt idx="0">
                  <c:v>0</c:v>
                </c:pt>
                <c:pt idx="1">
                  <c:v>0</c:v>
                </c:pt>
              </c:numCache>
            </c:numRef>
          </c:yVal>
          <c:smooth val="0"/>
          <c:extLst>
            <c:ext xmlns:c16="http://schemas.microsoft.com/office/drawing/2014/chart" uri="{C3380CC4-5D6E-409C-BE32-E72D297353CC}">
              <c16:uniqueId val="{00000001-CFB9-4456-9334-2AD932BA0C05}"/>
            </c:ext>
          </c:extLst>
        </c:ser>
        <c:ser>
          <c:idx val="4"/>
          <c:order val="2"/>
          <c:tx>
            <c:v>Q95Log</c:v>
          </c:tx>
          <c:spPr>
            <a:ln w="12700">
              <a:solidFill>
                <a:srgbClr val="FF00FF"/>
              </a:solidFill>
              <a:prstDash val="sysDash"/>
            </a:ln>
          </c:spPr>
          <c:marker>
            <c:symbol val="none"/>
          </c:marker>
          <c:xVal>
            <c:numRef>
              <c:f>Arsen!$E$57:$E$58</c:f>
              <c:numCache>
                <c:formatCode>m/d/yyyy</c:formatCode>
                <c:ptCount val="2"/>
                <c:pt idx="0">
                  <c:v>1</c:v>
                </c:pt>
                <c:pt idx="1">
                  <c:v>73415</c:v>
                </c:pt>
              </c:numCache>
            </c:numRef>
          </c:xVal>
          <c:yVal>
            <c:numRef>
              <c:f>Arsen!$J$57:$J$58</c:f>
              <c:numCache>
                <c:formatCode>0.000</c:formatCode>
                <c:ptCount val="2"/>
                <c:pt idx="0">
                  <c:v>0</c:v>
                </c:pt>
                <c:pt idx="1">
                  <c:v>0</c:v>
                </c:pt>
              </c:numCache>
            </c:numRef>
          </c:yVal>
          <c:smooth val="0"/>
          <c:extLst>
            <c:ext xmlns:c16="http://schemas.microsoft.com/office/drawing/2014/chart" uri="{C3380CC4-5D6E-409C-BE32-E72D297353CC}">
              <c16:uniqueId val="{00000002-CFB9-4456-9334-2AD932BA0C05}"/>
            </c:ext>
          </c:extLst>
        </c:ser>
        <c:ser>
          <c:idx val="9"/>
          <c:order val="3"/>
          <c:tx>
            <c:v>vT</c:v>
          </c:tx>
          <c:spPr>
            <a:ln w="12700">
              <a:solidFill>
                <a:srgbClr val="808080"/>
              </a:solidFill>
              <a:prstDash val="sysDash"/>
            </a:ln>
          </c:spPr>
          <c:marker>
            <c:symbol val="none"/>
          </c:marker>
          <c:xVal>
            <c:numRef>
              <c:f>Arsen!$G$122:$G$123</c:f>
              <c:numCache>
                <c:formatCode>d/m/yyyy;@</c:formatCode>
                <c:ptCount val="2"/>
                <c:pt idx="0">
                  <c:v>0</c:v>
                </c:pt>
                <c:pt idx="1">
                  <c:v>0</c:v>
                </c:pt>
              </c:numCache>
            </c:numRef>
          </c:xVal>
          <c:yVal>
            <c:numRef>
              <c:f>Arsen!$I$122:$I$123</c:f>
              <c:numCache>
                <c:formatCode>General</c:formatCode>
                <c:ptCount val="2"/>
                <c:pt idx="0">
                  <c:v>0</c:v>
                </c:pt>
                <c:pt idx="1">
                  <c:v>0</c:v>
                </c:pt>
              </c:numCache>
            </c:numRef>
          </c:yVal>
          <c:smooth val="0"/>
          <c:extLst>
            <c:ext xmlns:c16="http://schemas.microsoft.com/office/drawing/2014/chart" uri="{C3380CC4-5D6E-409C-BE32-E72D297353CC}">
              <c16:uniqueId val="{00000003-CFB9-4456-9334-2AD932BA0C05}"/>
            </c:ext>
          </c:extLst>
        </c:ser>
        <c:ser>
          <c:idx val="10"/>
          <c:order val="4"/>
          <c:tx>
            <c:v>Trend</c:v>
          </c:tx>
          <c:spPr>
            <a:ln w="12700">
              <a:solidFill>
                <a:srgbClr val="808080"/>
              </a:solidFill>
              <a:prstDash val="solid"/>
            </a:ln>
          </c:spPr>
          <c:marker>
            <c:symbol val="none"/>
          </c:marker>
          <c:xVal>
            <c:numRef>
              <c:f>Arsen!$G$122:$G$123</c:f>
              <c:numCache>
                <c:formatCode>d/m/yyyy;@</c:formatCode>
                <c:ptCount val="2"/>
                <c:pt idx="0">
                  <c:v>0</c:v>
                </c:pt>
                <c:pt idx="1">
                  <c:v>0</c:v>
                </c:pt>
              </c:numCache>
            </c:numRef>
          </c:xVal>
          <c:yVal>
            <c:numRef>
              <c:f>Arsen!$J$122:$J$123</c:f>
              <c:numCache>
                <c:formatCode>General</c:formatCode>
                <c:ptCount val="2"/>
                <c:pt idx="0">
                  <c:v>0</c:v>
                </c:pt>
                <c:pt idx="1">
                  <c:v>0</c:v>
                </c:pt>
              </c:numCache>
            </c:numRef>
          </c:yVal>
          <c:smooth val="0"/>
          <c:extLst>
            <c:ext xmlns:c16="http://schemas.microsoft.com/office/drawing/2014/chart" uri="{C3380CC4-5D6E-409C-BE32-E72D297353CC}">
              <c16:uniqueId val="{00000004-CFB9-4456-9334-2AD932BA0C05}"/>
            </c:ext>
          </c:extLst>
        </c:ser>
        <c:ser>
          <c:idx val="2"/>
          <c:order val="5"/>
          <c:tx>
            <c:v>Q95u</c:v>
          </c:tx>
          <c:spPr>
            <a:ln w="12700">
              <a:solidFill>
                <a:srgbClr val="0000FF"/>
              </a:solidFill>
              <a:prstDash val="sysDash"/>
            </a:ln>
          </c:spPr>
          <c:marker>
            <c:symbol val="none"/>
          </c:marker>
          <c:xVal>
            <c:numRef>
              <c:f>Arsen!$E$57:$E$58</c:f>
              <c:numCache>
                <c:formatCode>m/d/yyyy</c:formatCode>
                <c:ptCount val="2"/>
                <c:pt idx="0">
                  <c:v>1</c:v>
                </c:pt>
                <c:pt idx="1">
                  <c:v>73415</c:v>
                </c:pt>
              </c:numCache>
            </c:numRef>
          </c:xVal>
          <c:yVal>
            <c:numRef>
              <c:f>Arsen!$G$57:$G$58</c:f>
              <c:numCache>
                <c:formatCode>0.000</c:formatCode>
                <c:ptCount val="2"/>
                <c:pt idx="0">
                  <c:v>0</c:v>
                </c:pt>
                <c:pt idx="1">
                  <c:v>0</c:v>
                </c:pt>
              </c:numCache>
            </c:numRef>
          </c:yVal>
          <c:smooth val="0"/>
          <c:extLst>
            <c:ext xmlns:c16="http://schemas.microsoft.com/office/drawing/2014/chart" uri="{C3380CC4-5D6E-409C-BE32-E72D297353CC}">
              <c16:uniqueId val="{00000005-CFB9-4456-9334-2AD932BA0C05}"/>
            </c:ext>
          </c:extLst>
        </c:ser>
        <c:ser>
          <c:idx val="3"/>
          <c:order val="6"/>
          <c:tx>
            <c:v>Q98</c:v>
          </c:tx>
          <c:spPr>
            <a:ln w="12700">
              <a:solidFill>
                <a:srgbClr val="0000FF"/>
              </a:solidFill>
              <a:prstDash val="solid"/>
            </a:ln>
          </c:spPr>
          <c:marker>
            <c:symbol val="none"/>
          </c:marker>
          <c:xVal>
            <c:numRef>
              <c:f>Arsen!$E$57:$E$58</c:f>
              <c:numCache>
                <c:formatCode>m/d/yyyy</c:formatCode>
                <c:ptCount val="2"/>
                <c:pt idx="0">
                  <c:v>1</c:v>
                </c:pt>
                <c:pt idx="1">
                  <c:v>73415</c:v>
                </c:pt>
              </c:numCache>
            </c:numRef>
          </c:xVal>
          <c:yVal>
            <c:numRef>
              <c:f>Arsen!$H$57:$H$58</c:f>
              <c:numCache>
                <c:formatCode>0.000</c:formatCode>
                <c:ptCount val="2"/>
                <c:pt idx="0">
                  <c:v>0</c:v>
                </c:pt>
                <c:pt idx="1">
                  <c:v>0</c:v>
                </c:pt>
              </c:numCache>
            </c:numRef>
          </c:yVal>
          <c:smooth val="0"/>
          <c:extLst>
            <c:ext xmlns:c16="http://schemas.microsoft.com/office/drawing/2014/chart" uri="{C3380CC4-5D6E-409C-BE32-E72D297353CC}">
              <c16:uniqueId val="{00000006-CFB9-4456-9334-2AD932BA0C05}"/>
            </c:ext>
          </c:extLst>
        </c:ser>
        <c:ser>
          <c:idx val="6"/>
          <c:order val="7"/>
          <c:tx>
            <c:v>Q98Log</c:v>
          </c:tx>
          <c:spPr>
            <a:ln w="12700">
              <a:solidFill>
                <a:srgbClr val="CC00FF"/>
              </a:solidFill>
            </a:ln>
          </c:spPr>
          <c:marker>
            <c:symbol val="none"/>
          </c:marker>
          <c:xVal>
            <c:numRef>
              <c:f>Arsen!$E$57:$E$58</c:f>
              <c:numCache>
                <c:formatCode>m/d/yyyy</c:formatCode>
                <c:ptCount val="2"/>
                <c:pt idx="0">
                  <c:v>1</c:v>
                </c:pt>
                <c:pt idx="1">
                  <c:v>73415</c:v>
                </c:pt>
              </c:numCache>
            </c:numRef>
          </c:xVal>
          <c:yVal>
            <c:numRef>
              <c:f>Arsen!$K$57:$K$58</c:f>
              <c:numCache>
                <c:formatCode>0.000</c:formatCode>
                <c:ptCount val="2"/>
                <c:pt idx="0">
                  <c:v>0</c:v>
                </c:pt>
                <c:pt idx="1">
                  <c:v>0</c:v>
                </c:pt>
              </c:numCache>
            </c:numRef>
          </c:yVal>
          <c:smooth val="0"/>
          <c:extLst>
            <c:ext xmlns:c16="http://schemas.microsoft.com/office/drawing/2014/chart" uri="{C3380CC4-5D6E-409C-BE32-E72D297353CC}">
              <c16:uniqueId val="{00000007-CFB9-4456-9334-2AD932BA0C05}"/>
            </c:ext>
          </c:extLst>
        </c:ser>
        <c:dLbls>
          <c:showLegendKey val="0"/>
          <c:showVal val="0"/>
          <c:showCatName val="0"/>
          <c:showSerName val="0"/>
          <c:showPercent val="0"/>
          <c:showBubbleSize val="0"/>
        </c:dLbls>
        <c:axId val="154952448"/>
        <c:axId val="154953984"/>
      </c:scatterChart>
      <c:valAx>
        <c:axId val="154952448"/>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4953984"/>
        <c:crossesAt val="0"/>
        <c:crossBetween val="midCat"/>
        <c:majorUnit val="1461"/>
        <c:minorUnit val="365.25"/>
      </c:valAx>
      <c:valAx>
        <c:axId val="154953984"/>
        <c:scaling>
          <c:orientation val="minMax"/>
          <c:max val="2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4952448"/>
        <c:crossesAt val="0"/>
        <c:crossBetween val="midCat"/>
        <c:majorUnit val="5"/>
        <c:minorUnit val="1"/>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Blei!$F$63:$F$113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Blei!$G$63:$G$113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391E-4B14-9BC2-64860C5A890E}"/>
            </c:ext>
          </c:extLst>
        </c:ser>
        <c:ser>
          <c:idx val="1"/>
          <c:order val="1"/>
          <c:tx>
            <c:v>LogNormalverteilung</c:v>
          </c:tx>
          <c:spPr>
            <a:ln w="25400">
              <a:solidFill>
                <a:srgbClr val="FF00FF"/>
              </a:solidFill>
              <a:prstDash val="solid"/>
            </a:ln>
          </c:spPr>
          <c:marker>
            <c:symbol val="none"/>
          </c:marker>
          <c:xVal>
            <c:numRef>
              <c:f>Blei!$I$63:$I$113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Blei!$J$63:$J$113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391E-4B14-9BC2-64860C5A890E}"/>
            </c:ext>
          </c:extLst>
        </c:ser>
        <c:ser>
          <c:idx val="2"/>
          <c:order val="2"/>
          <c:tx>
            <c:v>Histogramm</c:v>
          </c:tx>
          <c:spPr>
            <a:ln w="25400">
              <a:solidFill>
                <a:srgbClr val="969696"/>
              </a:solidFill>
              <a:prstDash val="lgDashDot"/>
            </a:ln>
          </c:spPr>
          <c:marker>
            <c:symbol val="none"/>
          </c:marker>
          <c:xVal>
            <c:numRef>
              <c:f>Blei!$T$46:$T$97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Blei!$U$46:$U$97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391E-4B14-9BC2-64860C5A890E}"/>
            </c:ext>
          </c:extLst>
        </c:ser>
        <c:ser>
          <c:idx val="3"/>
          <c:order val="3"/>
          <c:tx>
            <c:v>Q95 No</c:v>
          </c:tx>
          <c:spPr>
            <a:ln w="12700">
              <a:solidFill>
                <a:srgbClr val="0000FF"/>
              </a:solidFill>
              <a:prstDash val="sysDash"/>
            </a:ln>
          </c:spPr>
          <c:marker>
            <c:symbol val="none"/>
          </c:marker>
          <c:xVal>
            <c:numRef>
              <c:f>Blei!$U$3:$V$3</c:f>
              <c:numCache>
                <c:formatCode>0.000</c:formatCode>
                <c:ptCount val="2"/>
                <c:pt idx="0">
                  <c:v>0</c:v>
                </c:pt>
                <c:pt idx="1">
                  <c:v>0</c:v>
                </c:pt>
              </c:numCache>
            </c:numRef>
          </c:xVal>
          <c:yVal>
            <c:numRef>
              <c:f>Blei!$U$2:$V$2</c:f>
              <c:numCache>
                <c:formatCode>General</c:formatCode>
                <c:ptCount val="2"/>
                <c:pt idx="0">
                  <c:v>0</c:v>
                </c:pt>
                <c:pt idx="1">
                  <c:v>1000</c:v>
                </c:pt>
              </c:numCache>
            </c:numRef>
          </c:yVal>
          <c:smooth val="0"/>
          <c:extLst>
            <c:ext xmlns:c16="http://schemas.microsoft.com/office/drawing/2014/chart" uri="{C3380CC4-5D6E-409C-BE32-E72D297353CC}">
              <c16:uniqueId val="{00000003-391E-4B14-9BC2-64860C5A890E}"/>
            </c:ext>
          </c:extLst>
        </c:ser>
        <c:ser>
          <c:idx val="4"/>
          <c:order val="4"/>
          <c:tx>
            <c:v>Q95 Lo</c:v>
          </c:tx>
          <c:spPr>
            <a:ln w="12700">
              <a:solidFill>
                <a:srgbClr val="FF00FF"/>
              </a:solidFill>
              <a:prstDash val="sysDash"/>
            </a:ln>
          </c:spPr>
          <c:marker>
            <c:symbol val="none"/>
          </c:marker>
          <c:xVal>
            <c:numRef>
              <c:f>Blei!$U$4:$V$4</c:f>
              <c:numCache>
                <c:formatCode>0.000</c:formatCode>
                <c:ptCount val="2"/>
                <c:pt idx="0">
                  <c:v>0</c:v>
                </c:pt>
                <c:pt idx="1">
                  <c:v>0</c:v>
                </c:pt>
              </c:numCache>
            </c:numRef>
          </c:xVal>
          <c:yVal>
            <c:numRef>
              <c:f>Blei!$U$2:$V$2</c:f>
              <c:numCache>
                <c:formatCode>General</c:formatCode>
                <c:ptCount val="2"/>
                <c:pt idx="0">
                  <c:v>0</c:v>
                </c:pt>
                <c:pt idx="1">
                  <c:v>1000</c:v>
                </c:pt>
              </c:numCache>
            </c:numRef>
          </c:yVal>
          <c:smooth val="0"/>
          <c:extLst>
            <c:ext xmlns:c16="http://schemas.microsoft.com/office/drawing/2014/chart" uri="{C3380CC4-5D6E-409C-BE32-E72D297353CC}">
              <c16:uniqueId val="{00000004-391E-4B14-9BC2-64860C5A890E}"/>
            </c:ext>
          </c:extLst>
        </c:ser>
        <c:ser>
          <c:idx val="5"/>
          <c:order val="5"/>
          <c:tx>
            <c:v>Q98 No</c:v>
          </c:tx>
          <c:spPr>
            <a:ln w="12700">
              <a:solidFill>
                <a:srgbClr val="0000FF"/>
              </a:solidFill>
              <a:prstDash val="solid"/>
            </a:ln>
          </c:spPr>
          <c:marker>
            <c:symbol val="none"/>
          </c:marker>
          <c:xVal>
            <c:numRef>
              <c:f>Blei!$U$5:$V$5</c:f>
              <c:numCache>
                <c:formatCode>0.000</c:formatCode>
                <c:ptCount val="2"/>
                <c:pt idx="0">
                  <c:v>0</c:v>
                </c:pt>
                <c:pt idx="1">
                  <c:v>0</c:v>
                </c:pt>
              </c:numCache>
            </c:numRef>
          </c:xVal>
          <c:yVal>
            <c:numRef>
              <c:f>Blei!$U$2:$V$2</c:f>
              <c:numCache>
                <c:formatCode>General</c:formatCode>
                <c:ptCount val="2"/>
                <c:pt idx="0">
                  <c:v>0</c:v>
                </c:pt>
                <c:pt idx="1">
                  <c:v>1000</c:v>
                </c:pt>
              </c:numCache>
            </c:numRef>
          </c:yVal>
          <c:smooth val="0"/>
          <c:extLst>
            <c:ext xmlns:c16="http://schemas.microsoft.com/office/drawing/2014/chart" uri="{C3380CC4-5D6E-409C-BE32-E72D297353CC}">
              <c16:uniqueId val="{00000005-391E-4B14-9BC2-64860C5A890E}"/>
            </c:ext>
          </c:extLst>
        </c:ser>
        <c:ser>
          <c:idx val="6"/>
          <c:order val="6"/>
          <c:tx>
            <c:v>Q98 Lo</c:v>
          </c:tx>
          <c:spPr>
            <a:ln w="12700">
              <a:solidFill>
                <a:srgbClr val="FF00FF"/>
              </a:solidFill>
              <a:prstDash val="solid"/>
            </a:ln>
          </c:spPr>
          <c:marker>
            <c:symbol val="none"/>
          </c:marker>
          <c:xVal>
            <c:numRef>
              <c:f>Blei!$U$6:$V$6</c:f>
              <c:numCache>
                <c:formatCode>0.000</c:formatCode>
                <c:ptCount val="2"/>
                <c:pt idx="0">
                  <c:v>0</c:v>
                </c:pt>
                <c:pt idx="1">
                  <c:v>0</c:v>
                </c:pt>
              </c:numCache>
            </c:numRef>
          </c:xVal>
          <c:yVal>
            <c:numRef>
              <c:f>Blei!$U$2:$V$2</c:f>
              <c:numCache>
                <c:formatCode>General</c:formatCode>
                <c:ptCount val="2"/>
                <c:pt idx="0">
                  <c:v>0</c:v>
                </c:pt>
                <c:pt idx="1">
                  <c:v>1000</c:v>
                </c:pt>
              </c:numCache>
            </c:numRef>
          </c:yVal>
          <c:smooth val="0"/>
          <c:extLst>
            <c:ext xmlns:c16="http://schemas.microsoft.com/office/drawing/2014/chart" uri="{C3380CC4-5D6E-409C-BE32-E72D297353CC}">
              <c16:uniqueId val="{00000006-391E-4B14-9BC2-64860C5A890E}"/>
            </c:ext>
          </c:extLst>
        </c:ser>
        <c:ser>
          <c:idx val="7"/>
          <c:order val="7"/>
          <c:tx>
            <c:v>Q95u</c:v>
          </c:tx>
          <c:spPr>
            <a:ln w="12700">
              <a:solidFill>
                <a:srgbClr val="0000FF"/>
              </a:solidFill>
              <a:prstDash val="sysDash"/>
            </a:ln>
          </c:spPr>
          <c:marker>
            <c:symbol val="none"/>
          </c:marker>
          <c:xVal>
            <c:numRef>
              <c:f>Blei!$U$7:$V$7</c:f>
              <c:numCache>
                <c:formatCode>0.000</c:formatCode>
                <c:ptCount val="2"/>
                <c:pt idx="0">
                  <c:v>0</c:v>
                </c:pt>
                <c:pt idx="1">
                  <c:v>0</c:v>
                </c:pt>
              </c:numCache>
            </c:numRef>
          </c:xVal>
          <c:yVal>
            <c:numRef>
              <c:f>Blei!$U$2:$V$2</c:f>
              <c:numCache>
                <c:formatCode>General</c:formatCode>
                <c:ptCount val="2"/>
                <c:pt idx="0">
                  <c:v>0</c:v>
                </c:pt>
                <c:pt idx="1">
                  <c:v>1000</c:v>
                </c:pt>
              </c:numCache>
            </c:numRef>
          </c:yVal>
          <c:smooth val="0"/>
          <c:extLst>
            <c:ext xmlns:c16="http://schemas.microsoft.com/office/drawing/2014/chart" uri="{C3380CC4-5D6E-409C-BE32-E72D297353CC}">
              <c16:uniqueId val="{00000007-391E-4B14-9BC2-64860C5A890E}"/>
            </c:ext>
          </c:extLst>
        </c:ser>
        <c:ser>
          <c:idx val="8"/>
          <c:order val="8"/>
          <c:tx>
            <c:v>Q95u Lo</c:v>
          </c:tx>
          <c:spPr>
            <a:ln w="12700">
              <a:solidFill>
                <a:srgbClr val="FF00FF"/>
              </a:solidFill>
              <a:prstDash val="sysDash"/>
            </a:ln>
          </c:spPr>
          <c:marker>
            <c:symbol val="none"/>
          </c:marker>
          <c:xVal>
            <c:numRef>
              <c:f>Blei!$U$8:$V$8</c:f>
              <c:numCache>
                <c:formatCode>0.000</c:formatCode>
                <c:ptCount val="2"/>
                <c:pt idx="0">
                  <c:v>0</c:v>
                </c:pt>
                <c:pt idx="1">
                  <c:v>0</c:v>
                </c:pt>
              </c:numCache>
            </c:numRef>
          </c:xVal>
          <c:yVal>
            <c:numRef>
              <c:f>Blei!$U$2:$V$2</c:f>
              <c:numCache>
                <c:formatCode>General</c:formatCode>
                <c:ptCount val="2"/>
                <c:pt idx="0">
                  <c:v>0</c:v>
                </c:pt>
                <c:pt idx="1">
                  <c:v>1000</c:v>
                </c:pt>
              </c:numCache>
            </c:numRef>
          </c:yVal>
          <c:smooth val="0"/>
          <c:extLst>
            <c:ext xmlns:c16="http://schemas.microsoft.com/office/drawing/2014/chart" uri="{C3380CC4-5D6E-409C-BE32-E72D297353CC}">
              <c16:uniqueId val="{00000008-391E-4B14-9BC2-64860C5A890E}"/>
            </c:ext>
          </c:extLst>
        </c:ser>
        <c:ser>
          <c:idx val="9"/>
          <c:order val="9"/>
          <c:tx>
            <c:v>Median</c:v>
          </c:tx>
          <c:spPr>
            <a:ln w="12700">
              <a:solidFill>
                <a:srgbClr val="969696"/>
              </a:solidFill>
              <a:prstDash val="lgDashDotDot"/>
            </a:ln>
          </c:spPr>
          <c:marker>
            <c:symbol val="none"/>
          </c:marker>
          <c:xVal>
            <c:numRef>
              <c:f>Blei!$U$11:$V$11</c:f>
              <c:numCache>
                <c:formatCode>0.000</c:formatCode>
                <c:ptCount val="2"/>
                <c:pt idx="0">
                  <c:v>0</c:v>
                </c:pt>
                <c:pt idx="1">
                  <c:v>0</c:v>
                </c:pt>
              </c:numCache>
            </c:numRef>
          </c:xVal>
          <c:yVal>
            <c:numRef>
              <c:f>Blei!$U$2:$V$2</c:f>
              <c:numCache>
                <c:formatCode>General</c:formatCode>
                <c:ptCount val="2"/>
                <c:pt idx="0">
                  <c:v>0</c:v>
                </c:pt>
                <c:pt idx="1">
                  <c:v>1000</c:v>
                </c:pt>
              </c:numCache>
            </c:numRef>
          </c:yVal>
          <c:smooth val="0"/>
          <c:extLst>
            <c:ext xmlns:c16="http://schemas.microsoft.com/office/drawing/2014/chart" uri="{C3380CC4-5D6E-409C-BE32-E72D297353CC}">
              <c16:uniqueId val="{00000009-391E-4B14-9BC2-64860C5A890E}"/>
            </c:ext>
          </c:extLst>
        </c:ser>
        <c:dLbls>
          <c:showLegendKey val="0"/>
          <c:showVal val="0"/>
          <c:showCatName val="0"/>
          <c:showSerName val="0"/>
          <c:showPercent val="0"/>
          <c:showBubbleSize val="0"/>
        </c:dLbls>
        <c:axId val="155914240"/>
        <c:axId val="155915776"/>
      </c:scatterChart>
      <c:valAx>
        <c:axId val="155914240"/>
        <c:scaling>
          <c:orientation val="minMax"/>
          <c:max val="4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5915776"/>
        <c:crosses val="autoZero"/>
        <c:crossBetween val="midCat"/>
        <c:majorUnit val="5"/>
        <c:minorUnit val="1"/>
      </c:valAx>
      <c:valAx>
        <c:axId val="155915776"/>
        <c:scaling>
          <c:orientation val="minMax"/>
          <c:max val="0.30000000000000004"/>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5914240"/>
        <c:crosses val="autoZero"/>
        <c:crossBetween val="midCat"/>
        <c:majorUnit val="5.000000000000001E-2"/>
        <c:minorUnit val="1.0000000000000002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Blei!$M$3:$M$252</c:f>
              <c:numCache>
                <c:formatCode>d/m/yyyy;@</c:formatCode>
                <c:ptCount val="250"/>
              </c:numCache>
            </c:numRef>
          </c:xVal>
          <c:yVal>
            <c:numRef>
              <c:f>Blei!$N$3:$N$252</c:f>
              <c:numCache>
                <c:formatCode>General</c:formatCode>
                <c:ptCount val="250"/>
              </c:numCache>
            </c:numRef>
          </c:yVal>
          <c:smooth val="0"/>
          <c:extLst>
            <c:ext xmlns:c16="http://schemas.microsoft.com/office/drawing/2014/chart" uri="{C3380CC4-5D6E-409C-BE32-E72D297353CC}">
              <c16:uniqueId val="{00000000-E07C-449E-A51D-1CA45A6BF657}"/>
            </c:ext>
          </c:extLst>
        </c:ser>
        <c:ser>
          <c:idx val="1"/>
          <c:order val="1"/>
          <c:tx>
            <c:v>Q95</c:v>
          </c:tx>
          <c:spPr>
            <a:ln w="12700">
              <a:solidFill>
                <a:srgbClr val="0000FF"/>
              </a:solidFill>
              <a:prstDash val="sysDash"/>
            </a:ln>
          </c:spPr>
          <c:marker>
            <c:symbol val="none"/>
          </c:marker>
          <c:xVal>
            <c:numRef>
              <c:f>Blei!$E$57:$E$58</c:f>
              <c:numCache>
                <c:formatCode>m/d/yyyy</c:formatCode>
                <c:ptCount val="2"/>
                <c:pt idx="0">
                  <c:v>1</c:v>
                </c:pt>
                <c:pt idx="1">
                  <c:v>73415</c:v>
                </c:pt>
              </c:numCache>
            </c:numRef>
          </c:xVal>
          <c:yVal>
            <c:numRef>
              <c:f>Blei!$F$57:$F$58</c:f>
              <c:numCache>
                <c:formatCode>0.000</c:formatCode>
                <c:ptCount val="2"/>
                <c:pt idx="0">
                  <c:v>0</c:v>
                </c:pt>
                <c:pt idx="1">
                  <c:v>0</c:v>
                </c:pt>
              </c:numCache>
            </c:numRef>
          </c:yVal>
          <c:smooth val="0"/>
          <c:extLst>
            <c:ext xmlns:c16="http://schemas.microsoft.com/office/drawing/2014/chart" uri="{C3380CC4-5D6E-409C-BE32-E72D297353CC}">
              <c16:uniqueId val="{00000001-E07C-449E-A51D-1CA45A6BF657}"/>
            </c:ext>
          </c:extLst>
        </c:ser>
        <c:ser>
          <c:idx val="4"/>
          <c:order val="2"/>
          <c:tx>
            <c:v>Q95Log</c:v>
          </c:tx>
          <c:spPr>
            <a:ln w="12700">
              <a:solidFill>
                <a:srgbClr val="FF00FF"/>
              </a:solidFill>
              <a:prstDash val="sysDash"/>
            </a:ln>
          </c:spPr>
          <c:marker>
            <c:symbol val="none"/>
          </c:marker>
          <c:xVal>
            <c:numRef>
              <c:f>Blei!$E$57:$E$58</c:f>
              <c:numCache>
                <c:formatCode>m/d/yyyy</c:formatCode>
                <c:ptCount val="2"/>
                <c:pt idx="0">
                  <c:v>1</c:v>
                </c:pt>
                <c:pt idx="1">
                  <c:v>73415</c:v>
                </c:pt>
              </c:numCache>
            </c:numRef>
          </c:xVal>
          <c:yVal>
            <c:numRef>
              <c:f>Blei!$J$57:$J$58</c:f>
              <c:numCache>
                <c:formatCode>0.000</c:formatCode>
                <c:ptCount val="2"/>
                <c:pt idx="0">
                  <c:v>0</c:v>
                </c:pt>
                <c:pt idx="1">
                  <c:v>0</c:v>
                </c:pt>
              </c:numCache>
            </c:numRef>
          </c:yVal>
          <c:smooth val="0"/>
          <c:extLst>
            <c:ext xmlns:c16="http://schemas.microsoft.com/office/drawing/2014/chart" uri="{C3380CC4-5D6E-409C-BE32-E72D297353CC}">
              <c16:uniqueId val="{00000002-E07C-449E-A51D-1CA45A6BF657}"/>
            </c:ext>
          </c:extLst>
        </c:ser>
        <c:ser>
          <c:idx val="9"/>
          <c:order val="3"/>
          <c:tx>
            <c:v>vT</c:v>
          </c:tx>
          <c:spPr>
            <a:ln w="12700">
              <a:solidFill>
                <a:srgbClr val="808080"/>
              </a:solidFill>
              <a:prstDash val="sysDash"/>
            </a:ln>
          </c:spPr>
          <c:marker>
            <c:symbol val="none"/>
          </c:marker>
          <c:xVal>
            <c:numRef>
              <c:f>Blei!$G$122:$G$123</c:f>
              <c:numCache>
                <c:formatCode>d/m/yyyy;@</c:formatCode>
                <c:ptCount val="2"/>
                <c:pt idx="0">
                  <c:v>0</c:v>
                </c:pt>
                <c:pt idx="1">
                  <c:v>0</c:v>
                </c:pt>
              </c:numCache>
            </c:numRef>
          </c:xVal>
          <c:yVal>
            <c:numRef>
              <c:f>Blei!$I$122:$I$123</c:f>
              <c:numCache>
                <c:formatCode>General</c:formatCode>
                <c:ptCount val="2"/>
                <c:pt idx="0">
                  <c:v>0</c:v>
                </c:pt>
                <c:pt idx="1">
                  <c:v>0</c:v>
                </c:pt>
              </c:numCache>
            </c:numRef>
          </c:yVal>
          <c:smooth val="0"/>
          <c:extLst>
            <c:ext xmlns:c16="http://schemas.microsoft.com/office/drawing/2014/chart" uri="{C3380CC4-5D6E-409C-BE32-E72D297353CC}">
              <c16:uniqueId val="{00000003-E07C-449E-A51D-1CA45A6BF657}"/>
            </c:ext>
          </c:extLst>
        </c:ser>
        <c:ser>
          <c:idx val="10"/>
          <c:order val="4"/>
          <c:tx>
            <c:v>Trend</c:v>
          </c:tx>
          <c:spPr>
            <a:ln w="12700">
              <a:solidFill>
                <a:srgbClr val="808080"/>
              </a:solidFill>
              <a:prstDash val="solid"/>
            </a:ln>
          </c:spPr>
          <c:marker>
            <c:symbol val="none"/>
          </c:marker>
          <c:xVal>
            <c:numRef>
              <c:f>Blei!$G$122:$G$123</c:f>
              <c:numCache>
                <c:formatCode>d/m/yyyy;@</c:formatCode>
                <c:ptCount val="2"/>
                <c:pt idx="0">
                  <c:v>0</c:v>
                </c:pt>
                <c:pt idx="1">
                  <c:v>0</c:v>
                </c:pt>
              </c:numCache>
            </c:numRef>
          </c:xVal>
          <c:yVal>
            <c:numRef>
              <c:f>Blei!$J$122:$J$123</c:f>
              <c:numCache>
                <c:formatCode>General</c:formatCode>
                <c:ptCount val="2"/>
                <c:pt idx="0">
                  <c:v>0</c:v>
                </c:pt>
                <c:pt idx="1">
                  <c:v>0</c:v>
                </c:pt>
              </c:numCache>
            </c:numRef>
          </c:yVal>
          <c:smooth val="0"/>
          <c:extLst>
            <c:ext xmlns:c16="http://schemas.microsoft.com/office/drawing/2014/chart" uri="{C3380CC4-5D6E-409C-BE32-E72D297353CC}">
              <c16:uniqueId val="{00000004-E07C-449E-A51D-1CA45A6BF657}"/>
            </c:ext>
          </c:extLst>
        </c:ser>
        <c:ser>
          <c:idx val="2"/>
          <c:order val="5"/>
          <c:tx>
            <c:v>Q95u</c:v>
          </c:tx>
          <c:spPr>
            <a:ln w="12700">
              <a:solidFill>
                <a:srgbClr val="0000FF"/>
              </a:solidFill>
              <a:prstDash val="sysDash"/>
            </a:ln>
          </c:spPr>
          <c:marker>
            <c:symbol val="none"/>
          </c:marker>
          <c:xVal>
            <c:numRef>
              <c:f>Blei!$E$57:$E$58</c:f>
              <c:numCache>
                <c:formatCode>m/d/yyyy</c:formatCode>
                <c:ptCount val="2"/>
                <c:pt idx="0">
                  <c:v>1</c:v>
                </c:pt>
                <c:pt idx="1">
                  <c:v>73415</c:v>
                </c:pt>
              </c:numCache>
            </c:numRef>
          </c:xVal>
          <c:yVal>
            <c:numRef>
              <c:f>Blei!$G$57:$G$58</c:f>
              <c:numCache>
                <c:formatCode>0.000</c:formatCode>
                <c:ptCount val="2"/>
                <c:pt idx="0">
                  <c:v>0</c:v>
                </c:pt>
                <c:pt idx="1">
                  <c:v>0</c:v>
                </c:pt>
              </c:numCache>
            </c:numRef>
          </c:yVal>
          <c:smooth val="0"/>
          <c:extLst>
            <c:ext xmlns:c16="http://schemas.microsoft.com/office/drawing/2014/chart" uri="{C3380CC4-5D6E-409C-BE32-E72D297353CC}">
              <c16:uniqueId val="{00000005-E07C-449E-A51D-1CA45A6BF657}"/>
            </c:ext>
          </c:extLst>
        </c:ser>
        <c:ser>
          <c:idx val="3"/>
          <c:order val="6"/>
          <c:tx>
            <c:v>Q98</c:v>
          </c:tx>
          <c:spPr>
            <a:ln w="12700">
              <a:solidFill>
                <a:srgbClr val="0000FF"/>
              </a:solidFill>
              <a:prstDash val="solid"/>
            </a:ln>
          </c:spPr>
          <c:marker>
            <c:symbol val="none"/>
          </c:marker>
          <c:xVal>
            <c:numRef>
              <c:f>Blei!$E$57:$E$58</c:f>
              <c:numCache>
                <c:formatCode>m/d/yyyy</c:formatCode>
                <c:ptCount val="2"/>
                <c:pt idx="0">
                  <c:v>1</c:v>
                </c:pt>
                <c:pt idx="1">
                  <c:v>73415</c:v>
                </c:pt>
              </c:numCache>
            </c:numRef>
          </c:xVal>
          <c:yVal>
            <c:numRef>
              <c:f>Blei!$H$57:$H$58</c:f>
              <c:numCache>
                <c:formatCode>0.000</c:formatCode>
                <c:ptCount val="2"/>
                <c:pt idx="0">
                  <c:v>0</c:v>
                </c:pt>
                <c:pt idx="1">
                  <c:v>0</c:v>
                </c:pt>
              </c:numCache>
            </c:numRef>
          </c:yVal>
          <c:smooth val="0"/>
          <c:extLst>
            <c:ext xmlns:c16="http://schemas.microsoft.com/office/drawing/2014/chart" uri="{C3380CC4-5D6E-409C-BE32-E72D297353CC}">
              <c16:uniqueId val="{00000006-E07C-449E-A51D-1CA45A6BF657}"/>
            </c:ext>
          </c:extLst>
        </c:ser>
        <c:ser>
          <c:idx val="6"/>
          <c:order val="7"/>
          <c:tx>
            <c:v>Q98Log</c:v>
          </c:tx>
          <c:spPr>
            <a:ln w="12700">
              <a:solidFill>
                <a:srgbClr val="CC00FF"/>
              </a:solidFill>
            </a:ln>
          </c:spPr>
          <c:marker>
            <c:symbol val="none"/>
          </c:marker>
          <c:xVal>
            <c:numRef>
              <c:f>Blei!$E$57:$E$58</c:f>
              <c:numCache>
                <c:formatCode>m/d/yyyy</c:formatCode>
                <c:ptCount val="2"/>
                <c:pt idx="0">
                  <c:v>1</c:v>
                </c:pt>
                <c:pt idx="1">
                  <c:v>73415</c:v>
                </c:pt>
              </c:numCache>
            </c:numRef>
          </c:xVal>
          <c:yVal>
            <c:numRef>
              <c:f>Blei!$K$57:$K$58</c:f>
              <c:numCache>
                <c:formatCode>0.000</c:formatCode>
                <c:ptCount val="2"/>
                <c:pt idx="0">
                  <c:v>0</c:v>
                </c:pt>
                <c:pt idx="1">
                  <c:v>0</c:v>
                </c:pt>
              </c:numCache>
            </c:numRef>
          </c:yVal>
          <c:smooth val="0"/>
          <c:extLst>
            <c:ext xmlns:c16="http://schemas.microsoft.com/office/drawing/2014/chart" uri="{C3380CC4-5D6E-409C-BE32-E72D297353CC}">
              <c16:uniqueId val="{00000007-E07C-449E-A51D-1CA45A6BF657}"/>
            </c:ext>
          </c:extLst>
        </c:ser>
        <c:dLbls>
          <c:showLegendKey val="0"/>
          <c:showVal val="0"/>
          <c:showCatName val="0"/>
          <c:showSerName val="0"/>
          <c:showPercent val="0"/>
          <c:showBubbleSize val="0"/>
        </c:dLbls>
        <c:axId val="155969792"/>
        <c:axId val="155975680"/>
      </c:scatterChart>
      <c:valAx>
        <c:axId val="155969792"/>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5975680"/>
        <c:crossesAt val="0"/>
        <c:crossBetween val="midCat"/>
        <c:majorUnit val="1461"/>
        <c:minorUnit val="365.25"/>
      </c:valAx>
      <c:valAx>
        <c:axId val="155975680"/>
        <c:scaling>
          <c:orientation val="minMax"/>
          <c:max val="5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5969792"/>
        <c:crossesAt val="0"/>
        <c:crossBetween val="midCat"/>
        <c:majorUnit val="10"/>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Cadmium!$F$63:$F$113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Cadmium!$G$63:$G$113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BB7E-4247-92B5-F957E4E1E384}"/>
            </c:ext>
          </c:extLst>
        </c:ser>
        <c:ser>
          <c:idx val="1"/>
          <c:order val="1"/>
          <c:tx>
            <c:v>LogNormalverteilung</c:v>
          </c:tx>
          <c:spPr>
            <a:ln w="25400">
              <a:solidFill>
                <a:srgbClr val="FF00FF"/>
              </a:solidFill>
              <a:prstDash val="solid"/>
            </a:ln>
          </c:spPr>
          <c:marker>
            <c:symbol val="none"/>
          </c:marker>
          <c:xVal>
            <c:numRef>
              <c:f>Cadmium!$I$63:$I$113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Cadmium!$J$63:$J$113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BB7E-4247-92B5-F957E4E1E384}"/>
            </c:ext>
          </c:extLst>
        </c:ser>
        <c:ser>
          <c:idx val="2"/>
          <c:order val="2"/>
          <c:tx>
            <c:v>Histogramm</c:v>
          </c:tx>
          <c:spPr>
            <a:ln w="25400">
              <a:solidFill>
                <a:srgbClr val="969696"/>
              </a:solidFill>
              <a:prstDash val="lgDashDot"/>
            </a:ln>
          </c:spPr>
          <c:marker>
            <c:symbol val="none"/>
          </c:marker>
          <c:xVal>
            <c:numRef>
              <c:f>Cadmium!$T$46:$T$97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Cadmium!$U$46:$U$97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BB7E-4247-92B5-F957E4E1E384}"/>
            </c:ext>
          </c:extLst>
        </c:ser>
        <c:ser>
          <c:idx val="3"/>
          <c:order val="3"/>
          <c:tx>
            <c:v>Q95 No</c:v>
          </c:tx>
          <c:spPr>
            <a:ln w="12700">
              <a:solidFill>
                <a:srgbClr val="0000FF"/>
              </a:solidFill>
              <a:prstDash val="sysDash"/>
            </a:ln>
          </c:spPr>
          <c:marker>
            <c:symbol val="none"/>
          </c:marker>
          <c:xVal>
            <c:numRef>
              <c:f>Cadmium!$U$3:$V$3</c:f>
              <c:numCache>
                <c:formatCode>0.000</c:formatCode>
                <c:ptCount val="2"/>
                <c:pt idx="0">
                  <c:v>0</c:v>
                </c:pt>
                <c:pt idx="1">
                  <c:v>0</c:v>
                </c:pt>
              </c:numCache>
            </c:numRef>
          </c:xVal>
          <c:yVal>
            <c:numRef>
              <c:f>Cadmium!$U$2:$V$2</c:f>
              <c:numCache>
                <c:formatCode>General</c:formatCode>
                <c:ptCount val="2"/>
                <c:pt idx="0">
                  <c:v>0</c:v>
                </c:pt>
                <c:pt idx="1">
                  <c:v>1000</c:v>
                </c:pt>
              </c:numCache>
            </c:numRef>
          </c:yVal>
          <c:smooth val="0"/>
          <c:extLst>
            <c:ext xmlns:c16="http://schemas.microsoft.com/office/drawing/2014/chart" uri="{C3380CC4-5D6E-409C-BE32-E72D297353CC}">
              <c16:uniqueId val="{00000003-BB7E-4247-92B5-F957E4E1E384}"/>
            </c:ext>
          </c:extLst>
        </c:ser>
        <c:ser>
          <c:idx val="4"/>
          <c:order val="4"/>
          <c:tx>
            <c:v>Q95 Lo</c:v>
          </c:tx>
          <c:spPr>
            <a:ln w="12700">
              <a:solidFill>
                <a:srgbClr val="FF00FF"/>
              </a:solidFill>
              <a:prstDash val="sysDash"/>
            </a:ln>
          </c:spPr>
          <c:marker>
            <c:symbol val="none"/>
          </c:marker>
          <c:xVal>
            <c:numRef>
              <c:f>Cadmium!$U$4:$V$4</c:f>
              <c:numCache>
                <c:formatCode>0.000</c:formatCode>
                <c:ptCount val="2"/>
                <c:pt idx="0">
                  <c:v>0</c:v>
                </c:pt>
                <c:pt idx="1">
                  <c:v>0</c:v>
                </c:pt>
              </c:numCache>
            </c:numRef>
          </c:xVal>
          <c:yVal>
            <c:numRef>
              <c:f>Cadmium!$U$2:$V$2</c:f>
              <c:numCache>
                <c:formatCode>General</c:formatCode>
                <c:ptCount val="2"/>
                <c:pt idx="0">
                  <c:v>0</c:v>
                </c:pt>
                <c:pt idx="1">
                  <c:v>1000</c:v>
                </c:pt>
              </c:numCache>
            </c:numRef>
          </c:yVal>
          <c:smooth val="0"/>
          <c:extLst>
            <c:ext xmlns:c16="http://schemas.microsoft.com/office/drawing/2014/chart" uri="{C3380CC4-5D6E-409C-BE32-E72D297353CC}">
              <c16:uniqueId val="{00000004-BB7E-4247-92B5-F957E4E1E384}"/>
            </c:ext>
          </c:extLst>
        </c:ser>
        <c:ser>
          <c:idx val="5"/>
          <c:order val="5"/>
          <c:tx>
            <c:v>Q98 No</c:v>
          </c:tx>
          <c:spPr>
            <a:ln w="12700">
              <a:solidFill>
                <a:srgbClr val="0000FF"/>
              </a:solidFill>
              <a:prstDash val="solid"/>
            </a:ln>
          </c:spPr>
          <c:marker>
            <c:symbol val="none"/>
          </c:marker>
          <c:xVal>
            <c:numRef>
              <c:f>Cadmium!$U$5:$V$5</c:f>
              <c:numCache>
                <c:formatCode>0.000</c:formatCode>
                <c:ptCount val="2"/>
                <c:pt idx="0">
                  <c:v>0</c:v>
                </c:pt>
                <c:pt idx="1">
                  <c:v>0</c:v>
                </c:pt>
              </c:numCache>
            </c:numRef>
          </c:xVal>
          <c:yVal>
            <c:numRef>
              <c:f>Cadmium!$U$2:$V$2</c:f>
              <c:numCache>
                <c:formatCode>General</c:formatCode>
                <c:ptCount val="2"/>
                <c:pt idx="0">
                  <c:v>0</c:v>
                </c:pt>
                <c:pt idx="1">
                  <c:v>1000</c:v>
                </c:pt>
              </c:numCache>
            </c:numRef>
          </c:yVal>
          <c:smooth val="0"/>
          <c:extLst>
            <c:ext xmlns:c16="http://schemas.microsoft.com/office/drawing/2014/chart" uri="{C3380CC4-5D6E-409C-BE32-E72D297353CC}">
              <c16:uniqueId val="{00000005-BB7E-4247-92B5-F957E4E1E384}"/>
            </c:ext>
          </c:extLst>
        </c:ser>
        <c:ser>
          <c:idx val="6"/>
          <c:order val="6"/>
          <c:tx>
            <c:v>Q98 Lo</c:v>
          </c:tx>
          <c:spPr>
            <a:ln w="12700">
              <a:solidFill>
                <a:srgbClr val="FF00FF"/>
              </a:solidFill>
              <a:prstDash val="solid"/>
            </a:ln>
          </c:spPr>
          <c:marker>
            <c:symbol val="none"/>
          </c:marker>
          <c:xVal>
            <c:numRef>
              <c:f>Cadmium!$U$6:$V$6</c:f>
              <c:numCache>
                <c:formatCode>0.000</c:formatCode>
                <c:ptCount val="2"/>
                <c:pt idx="0">
                  <c:v>0</c:v>
                </c:pt>
                <c:pt idx="1">
                  <c:v>0</c:v>
                </c:pt>
              </c:numCache>
            </c:numRef>
          </c:xVal>
          <c:yVal>
            <c:numRef>
              <c:f>Cadmium!$U$2:$V$2</c:f>
              <c:numCache>
                <c:formatCode>General</c:formatCode>
                <c:ptCount val="2"/>
                <c:pt idx="0">
                  <c:v>0</c:v>
                </c:pt>
                <c:pt idx="1">
                  <c:v>1000</c:v>
                </c:pt>
              </c:numCache>
            </c:numRef>
          </c:yVal>
          <c:smooth val="0"/>
          <c:extLst>
            <c:ext xmlns:c16="http://schemas.microsoft.com/office/drawing/2014/chart" uri="{C3380CC4-5D6E-409C-BE32-E72D297353CC}">
              <c16:uniqueId val="{00000006-BB7E-4247-92B5-F957E4E1E384}"/>
            </c:ext>
          </c:extLst>
        </c:ser>
        <c:ser>
          <c:idx val="7"/>
          <c:order val="7"/>
          <c:tx>
            <c:v>Q95u</c:v>
          </c:tx>
          <c:spPr>
            <a:ln w="12700">
              <a:solidFill>
                <a:srgbClr val="0000FF"/>
              </a:solidFill>
              <a:prstDash val="sysDash"/>
            </a:ln>
          </c:spPr>
          <c:marker>
            <c:symbol val="none"/>
          </c:marker>
          <c:xVal>
            <c:numRef>
              <c:f>Cadmium!$U$7:$V$7</c:f>
              <c:numCache>
                <c:formatCode>0.000</c:formatCode>
                <c:ptCount val="2"/>
                <c:pt idx="0">
                  <c:v>0</c:v>
                </c:pt>
                <c:pt idx="1">
                  <c:v>0</c:v>
                </c:pt>
              </c:numCache>
            </c:numRef>
          </c:xVal>
          <c:yVal>
            <c:numRef>
              <c:f>Cadmium!$U$2:$V$2</c:f>
              <c:numCache>
                <c:formatCode>General</c:formatCode>
                <c:ptCount val="2"/>
                <c:pt idx="0">
                  <c:v>0</c:v>
                </c:pt>
                <c:pt idx="1">
                  <c:v>1000</c:v>
                </c:pt>
              </c:numCache>
            </c:numRef>
          </c:yVal>
          <c:smooth val="0"/>
          <c:extLst>
            <c:ext xmlns:c16="http://schemas.microsoft.com/office/drawing/2014/chart" uri="{C3380CC4-5D6E-409C-BE32-E72D297353CC}">
              <c16:uniqueId val="{00000007-BB7E-4247-92B5-F957E4E1E384}"/>
            </c:ext>
          </c:extLst>
        </c:ser>
        <c:ser>
          <c:idx val="8"/>
          <c:order val="8"/>
          <c:tx>
            <c:v>Q95u Lo</c:v>
          </c:tx>
          <c:spPr>
            <a:ln w="12700">
              <a:solidFill>
                <a:srgbClr val="FF00FF"/>
              </a:solidFill>
              <a:prstDash val="sysDash"/>
            </a:ln>
          </c:spPr>
          <c:marker>
            <c:symbol val="none"/>
          </c:marker>
          <c:xVal>
            <c:numRef>
              <c:f>Cadmium!$U$8:$V$8</c:f>
              <c:numCache>
                <c:formatCode>0.000</c:formatCode>
                <c:ptCount val="2"/>
                <c:pt idx="0">
                  <c:v>0</c:v>
                </c:pt>
                <c:pt idx="1">
                  <c:v>0</c:v>
                </c:pt>
              </c:numCache>
            </c:numRef>
          </c:xVal>
          <c:yVal>
            <c:numRef>
              <c:f>Cadmium!$U$2:$V$2</c:f>
              <c:numCache>
                <c:formatCode>General</c:formatCode>
                <c:ptCount val="2"/>
                <c:pt idx="0">
                  <c:v>0</c:v>
                </c:pt>
                <c:pt idx="1">
                  <c:v>1000</c:v>
                </c:pt>
              </c:numCache>
            </c:numRef>
          </c:yVal>
          <c:smooth val="0"/>
          <c:extLst>
            <c:ext xmlns:c16="http://schemas.microsoft.com/office/drawing/2014/chart" uri="{C3380CC4-5D6E-409C-BE32-E72D297353CC}">
              <c16:uniqueId val="{00000008-BB7E-4247-92B5-F957E4E1E384}"/>
            </c:ext>
          </c:extLst>
        </c:ser>
        <c:ser>
          <c:idx val="9"/>
          <c:order val="9"/>
          <c:tx>
            <c:v>Median</c:v>
          </c:tx>
          <c:spPr>
            <a:ln w="12700">
              <a:solidFill>
                <a:srgbClr val="969696"/>
              </a:solidFill>
              <a:prstDash val="lgDashDotDot"/>
            </a:ln>
          </c:spPr>
          <c:marker>
            <c:symbol val="none"/>
          </c:marker>
          <c:xVal>
            <c:numRef>
              <c:f>Cadmium!$U$11:$V$11</c:f>
              <c:numCache>
                <c:formatCode>0.000</c:formatCode>
                <c:ptCount val="2"/>
                <c:pt idx="0">
                  <c:v>0</c:v>
                </c:pt>
                <c:pt idx="1">
                  <c:v>0</c:v>
                </c:pt>
              </c:numCache>
            </c:numRef>
          </c:xVal>
          <c:yVal>
            <c:numRef>
              <c:f>Cadmium!$U$2:$V$2</c:f>
              <c:numCache>
                <c:formatCode>General</c:formatCode>
                <c:ptCount val="2"/>
                <c:pt idx="0">
                  <c:v>0</c:v>
                </c:pt>
                <c:pt idx="1">
                  <c:v>1000</c:v>
                </c:pt>
              </c:numCache>
            </c:numRef>
          </c:yVal>
          <c:smooth val="0"/>
          <c:extLst>
            <c:ext xmlns:c16="http://schemas.microsoft.com/office/drawing/2014/chart" uri="{C3380CC4-5D6E-409C-BE32-E72D297353CC}">
              <c16:uniqueId val="{00000009-BB7E-4247-92B5-F957E4E1E384}"/>
            </c:ext>
          </c:extLst>
        </c:ser>
        <c:dLbls>
          <c:showLegendKey val="0"/>
          <c:showVal val="0"/>
          <c:showCatName val="0"/>
          <c:showSerName val="0"/>
          <c:showPercent val="0"/>
          <c:showBubbleSize val="0"/>
        </c:dLbls>
        <c:axId val="156501504"/>
        <c:axId val="156503040"/>
      </c:scatterChart>
      <c:valAx>
        <c:axId val="156501504"/>
        <c:scaling>
          <c:orientation val="minMax"/>
          <c:max val="5"/>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6503040"/>
        <c:crosses val="autoZero"/>
        <c:crossBetween val="midCat"/>
        <c:majorUnit val="2"/>
        <c:minorUnit val="1"/>
      </c:valAx>
      <c:valAx>
        <c:axId val="156503040"/>
        <c:scaling>
          <c:orientation val="minMax"/>
          <c:max val="1"/>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6501504"/>
        <c:crosses val="autoZero"/>
        <c:crossBetween val="midCat"/>
        <c:majorUnit val="0.2"/>
        <c:minorUnit val="0.1"/>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Cadmium!$M$3:$M$252</c:f>
              <c:numCache>
                <c:formatCode>d/m/yyyy;@</c:formatCode>
                <c:ptCount val="250"/>
              </c:numCache>
            </c:numRef>
          </c:xVal>
          <c:yVal>
            <c:numRef>
              <c:f>Cadmium!$N$3:$N$252</c:f>
              <c:numCache>
                <c:formatCode>General</c:formatCode>
                <c:ptCount val="250"/>
              </c:numCache>
            </c:numRef>
          </c:yVal>
          <c:smooth val="0"/>
          <c:extLst>
            <c:ext xmlns:c16="http://schemas.microsoft.com/office/drawing/2014/chart" uri="{C3380CC4-5D6E-409C-BE32-E72D297353CC}">
              <c16:uniqueId val="{00000000-BFB3-4C8C-8C88-6914112C28FB}"/>
            </c:ext>
          </c:extLst>
        </c:ser>
        <c:ser>
          <c:idx val="1"/>
          <c:order val="1"/>
          <c:tx>
            <c:v>Q95</c:v>
          </c:tx>
          <c:spPr>
            <a:ln w="12700">
              <a:solidFill>
                <a:srgbClr val="0000FF"/>
              </a:solidFill>
              <a:prstDash val="sysDash"/>
            </a:ln>
          </c:spPr>
          <c:marker>
            <c:symbol val="none"/>
          </c:marker>
          <c:xVal>
            <c:numRef>
              <c:f>Cadmium!$E$57:$E$58</c:f>
              <c:numCache>
                <c:formatCode>m/d/yyyy</c:formatCode>
                <c:ptCount val="2"/>
                <c:pt idx="0">
                  <c:v>1</c:v>
                </c:pt>
                <c:pt idx="1">
                  <c:v>73415</c:v>
                </c:pt>
              </c:numCache>
            </c:numRef>
          </c:xVal>
          <c:yVal>
            <c:numRef>
              <c:f>Cadmium!$F$57:$F$58</c:f>
              <c:numCache>
                <c:formatCode>0.000</c:formatCode>
                <c:ptCount val="2"/>
                <c:pt idx="0">
                  <c:v>0</c:v>
                </c:pt>
                <c:pt idx="1">
                  <c:v>0</c:v>
                </c:pt>
              </c:numCache>
            </c:numRef>
          </c:yVal>
          <c:smooth val="0"/>
          <c:extLst>
            <c:ext xmlns:c16="http://schemas.microsoft.com/office/drawing/2014/chart" uri="{C3380CC4-5D6E-409C-BE32-E72D297353CC}">
              <c16:uniqueId val="{00000001-BFB3-4C8C-8C88-6914112C28FB}"/>
            </c:ext>
          </c:extLst>
        </c:ser>
        <c:ser>
          <c:idx val="4"/>
          <c:order val="2"/>
          <c:tx>
            <c:v>Q95Log</c:v>
          </c:tx>
          <c:spPr>
            <a:ln w="12700">
              <a:solidFill>
                <a:srgbClr val="FF00FF"/>
              </a:solidFill>
              <a:prstDash val="sysDash"/>
            </a:ln>
          </c:spPr>
          <c:marker>
            <c:symbol val="none"/>
          </c:marker>
          <c:xVal>
            <c:numRef>
              <c:f>Cadmium!$E$57:$E$58</c:f>
              <c:numCache>
                <c:formatCode>m/d/yyyy</c:formatCode>
                <c:ptCount val="2"/>
                <c:pt idx="0">
                  <c:v>1</c:v>
                </c:pt>
                <c:pt idx="1">
                  <c:v>73415</c:v>
                </c:pt>
              </c:numCache>
            </c:numRef>
          </c:xVal>
          <c:yVal>
            <c:numRef>
              <c:f>Cadmium!$J$57:$J$58</c:f>
              <c:numCache>
                <c:formatCode>0.000</c:formatCode>
                <c:ptCount val="2"/>
                <c:pt idx="0">
                  <c:v>0</c:v>
                </c:pt>
                <c:pt idx="1">
                  <c:v>0</c:v>
                </c:pt>
              </c:numCache>
            </c:numRef>
          </c:yVal>
          <c:smooth val="0"/>
          <c:extLst>
            <c:ext xmlns:c16="http://schemas.microsoft.com/office/drawing/2014/chart" uri="{C3380CC4-5D6E-409C-BE32-E72D297353CC}">
              <c16:uniqueId val="{00000002-BFB3-4C8C-8C88-6914112C28FB}"/>
            </c:ext>
          </c:extLst>
        </c:ser>
        <c:ser>
          <c:idx val="9"/>
          <c:order val="3"/>
          <c:tx>
            <c:v>vT</c:v>
          </c:tx>
          <c:spPr>
            <a:ln w="12700">
              <a:solidFill>
                <a:srgbClr val="808080"/>
              </a:solidFill>
              <a:prstDash val="sysDash"/>
            </a:ln>
          </c:spPr>
          <c:marker>
            <c:symbol val="none"/>
          </c:marker>
          <c:xVal>
            <c:numRef>
              <c:f>Cadmium!$G$122:$G$123</c:f>
              <c:numCache>
                <c:formatCode>d/m/yyyy;@</c:formatCode>
                <c:ptCount val="2"/>
                <c:pt idx="0">
                  <c:v>0</c:v>
                </c:pt>
                <c:pt idx="1">
                  <c:v>0</c:v>
                </c:pt>
              </c:numCache>
            </c:numRef>
          </c:xVal>
          <c:yVal>
            <c:numRef>
              <c:f>Cadmium!$I$122:$I$123</c:f>
              <c:numCache>
                <c:formatCode>General</c:formatCode>
                <c:ptCount val="2"/>
                <c:pt idx="0">
                  <c:v>0</c:v>
                </c:pt>
                <c:pt idx="1">
                  <c:v>0</c:v>
                </c:pt>
              </c:numCache>
            </c:numRef>
          </c:yVal>
          <c:smooth val="0"/>
          <c:extLst>
            <c:ext xmlns:c16="http://schemas.microsoft.com/office/drawing/2014/chart" uri="{C3380CC4-5D6E-409C-BE32-E72D297353CC}">
              <c16:uniqueId val="{00000003-BFB3-4C8C-8C88-6914112C28FB}"/>
            </c:ext>
          </c:extLst>
        </c:ser>
        <c:ser>
          <c:idx val="10"/>
          <c:order val="4"/>
          <c:tx>
            <c:v>Trend</c:v>
          </c:tx>
          <c:spPr>
            <a:ln w="12700">
              <a:solidFill>
                <a:srgbClr val="808080"/>
              </a:solidFill>
              <a:prstDash val="solid"/>
            </a:ln>
          </c:spPr>
          <c:marker>
            <c:symbol val="none"/>
          </c:marker>
          <c:xVal>
            <c:numRef>
              <c:f>Cadmium!$G$122:$G$123</c:f>
              <c:numCache>
                <c:formatCode>d/m/yyyy;@</c:formatCode>
                <c:ptCount val="2"/>
                <c:pt idx="0">
                  <c:v>0</c:v>
                </c:pt>
                <c:pt idx="1">
                  <c:v>0</c:v>
                </c:pt>
              </c:numCache>
            </c:numRef>
          </c:xVal>
          <c:yVal>
            <c:numRef>
              <c:f>Cadmium!$J$122:$J$123</c:f>
              <c:numCache>
                <c:formatCode>General</c:formatCode>
                <c:ptCount val="2"/>
                <c:pt idx="0">
                  <c:v>0</c:v>
                </c:pt>
                <c:pt idx="1">
                  <c:v>0</c:v>
                </c:pt>
              </c:numCache>
            </c:numRef>
          </c:yVal>
          <c:smooth val="0"/>
          <c:extLst>
            <c:ext xmlns:c16="http://schemas.microsoft.com/office/drawing/2014/chart" uri="{C3380CC4-5D6E-409C-BE32-E72D297353CC}">
              <c16:uniqueId val="{00000004-BFB3-4C8C-8C88-6914112C28FB}"/>
            </c:ext>
          </c:extLst>
        </c:ser>
        <c:ser>
          <c:idx val="2"/>
          <c:order val="5"/>
          <c:tx>
            <c:v>Q95u</c:v>
          </c:tx>
          <c:spPr>
            <a:ln w="12700">
              <a:solidFill>
                <a:srgbClr val="0000FF"/>
              </a:solidFill>
              <a:prstDash val="sysDash"/>
            </a:ln>
          </c:spPr>
          <c:marker>
            <c:symbol val="none"/>
          </c:marker>
          <c:xVal>
            <c:numRef>
              <c:f>Cadmium!$E$57:$E$58</c:f>
              <c:numCache>
                <c:formatCode>m/d/yyyy</c:formatCode>
                <c:ptCount val="2"/>
                <c:pt idx="0">
                  <c:v>1</c:v>
                </c:pt>
                <c:pt idx="1">
                  <c:v>73415</c:v>
                </c:pt>
              </c:numCache>
            </c:numRef>
          </c:xVal>
          <c:yVal>
            <c:numRef>
              <c:f>Cadmium!$G$57:$G$58</c:f>
              <c:numCache>
                <c:formatCode>0.000</c:formatCode>
                <c:ptCount val="2"/>
                <c:pt idx="0">
                  <c:v>0</c:v>
                </c:pt>
                <c:pt idx="1">
                  <c:v>0</c:v>
                </c:pt>
              </c:numCache>
            </c:numRef>
          </c:yVal>
          <c:smooth val="0"/>
          <c:extLst>
            <c:ext xmlns:c16="http://schemas.microsoft.com/office/drawing/2014/chart" uri="{C3380CC4-5D6E-409C-BE32-E72D297353CC}">
              <c16:uniqueId val="{00000005-BFB3-4C8C-8C88-6914112C28FB}"/>
            </c:ext>
          </c:extLst>
        </c:ser>
        <c:ser>
          <c:idx val="3"/>
          <c:order val="6"/>
          <c:tx>
            <c:v>Q98</c:v>
          </c:tx>
          <c:spPr>
            <a:ln w="12700">
              <a:solidFill>
                <a:srgbClr val="0000FF"/>
              </a:solidFill>
              <a:prstDash val="solid"/>
            </a:ln>
          </c:spPr>
          <c:marker>
            <c:symbol val="none"/>
          </c:marker>
          <c:xVal>
            <c:numRef>
              <c:f>Cadmium!$E$57:$E$58</c:f>
              <c:numCache>
                <c:formatCode>m/d/yyyy</c:formatCode>
                <c:ptCount val="2"/>
                <c:pt idx="0">
                  <c:v>1</c:v>
                </c:pt>
                <c:pt idx="1">
                  <c:v>73415</c:v>
                </c:pt>
              </c:numCache>
            </c:numRef>
          </c:xVal>
          <c:yVal>
            <c:numRef>
              <c:f>Cadmium!$H$57:$H$58</c:f>
              <c:numCache>
                <c:formatCode>0.000</c:formatCode>
                <c:ptCount val="2"/>
                <c:pt idx="0">
                  <c:v>0</c:v>
                </c:pt>
                <c:pt idx="1">
                  <c:v>0</c:v>
                </c:pt>
              </c:numCache>
            </c:numRef>
          </c:yVal>
          <c:smooth val="0"/>
          <c:extLst>
            <c:ext xmlns:c16="http://schemas.microsoft.com/office/drawing/2014/chart" uri="{C3380CC4-5D6E-409C-BE32-E72D297353CC}">
              <c16:uniqueId val="{00000006-BFB3-4C8C-8C88-6914112C28FB}"/>
            </c:ext>
          </c:extLst>
        </c:ser>
        <c:ser>
          <c:idx val="6"/>
          <c:order val="7"/>
          <c:tx>
            <c:v>Q98Log</c:v>
          </c:tx>
          <c:spPr>
            <a:ln w="12700">
              <a:solidFill>
                <a:srgbClr val="CC00FF"/>
              </a:solidFill>
            </a:ln>
          </c:spPr>
          <c:marker>
            <c:symbol val="none"/>
          </c:marker>
          <c:xVal>
            <c:numRef>
              <c:f>Cadmium!$E$57:$E$58</c:f>
              <c:numCache>
                <c:formatCode>m/d/yyyy</c:formatCode>
                <c:ptCount val="2"/>
                <c:pt idx="0">
                  <c:v>1</c:v>
                </c:pt>
                <c:pt idx="1">
                  <c:v>73415</c:v>
                </c:pt>
              </c:numCache>
            </c:numRef>
          </c:xVal>
          <c:yVal>
            <c:numRef>
              <c:f>Cadmium!$K$57:$K$58</c:f>
              <c:numCache>
                <c:formatCode>0.000</c:formatCode>
                <c:ptCount val="2"/>
                <c:pt idx="0">
                  <c:v>0</c:v>
                </c:pt>
                <c:pt idx="1">
                  <c:v>0</c:v>
                </c:pt>
              </c:numCache>
            </c:numRef>
          </c:yVal>
          <c:smooth val="0"/>
          <c:extLst>
            <c:ext xmlns:c16="http://schemas.microsoft.com/office/drawing/2014/chart" uri="{C3380CC4-5D6E-409C-BE32-E72D297353CC}">
              <c16:uniqueId val="{00000007-BFB3-4C8C-8C88-6914112C28FB}"/>
            </c:ext>
          </c:extLst>
        </c:ser>
        <c:dLbls>
          <c:showLegendKey val="0"/>
          <c:showVal val="0"/>
          <c:showCatName val="0"/>
          <c:showSerName val="0"/>
          <c:showPercent val="0"/>
          <c:showBubbleSize val="0"/>
        </c:dLbls>
        <c:axId val="156557312"/>
        <c:axId val="156558848"/>
      </c:scatterChart>
      <c:valAx>
        <c:axId val="156557312"/>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6558848"/>
        <c:crossesAt val="0"/>
        <c:crossBetween val="midCat"/>
        <c:majorUnit val="1461"/>
        <c:minorUnit val="365.25"/>
      </c:valAx>
      <c:valAx>
        <c:axId val="156558848"/>
        <c:scaling>
          <c:orientation val="minMax"/>
          <c:max val="5"/>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6557312"/>
        <c:crossesAt val="0"/>
        <c:crossBetween val="midCat"/>
        <c:majorUnit val="1"/>
        <c:minorUnit val="0.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'Chrom ges'!$F$63:$F$113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'Chrom ges'!$G$63:$G$113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F802-42CD-9119-609A6E1B40AC}"/>
            </c:ext>
          </c:extLst>
        </c:ser>
        <c:ser>
          <c:idx val="1"/>
          <c:order val="1"/>
          <c:tx>
            <c:v>LogNormalverteilung</c:v>
          </c:tx>
          <c:spPr>
            <a:ln w="25400">
              <a:solidFill>
                <a:srgbClr val="FF00FF"/>
              </a:solidFill>
              <a:prstDash val="solid"/>
            </a:ln>
          </c:spPr>
          <c:marker>
            <c:symbol val="none"/>
          </c:marker>
          <c:xVal>
            <c:numRef>
              <c:f>'Chrom ges'!$I$63:$I$113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'Chrom ges'!$J$63:$J$113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F802-42CD-9119-609A6E1B40AC}"/>
            </c:ext>
          </c:extLst>
        </c:ser>
        <c:ser>
          <c:idx val="2"/>
          <c:order val="2"/>
          <c:tx>
            <c:v>Histogramm</c:v>
          </c:tx>
          <c:spPr>
            <a:ln w="25400">
              <a:solidFill>
                <a:srgbClr val="969696"/>
              </a:solidFill>
              <a:prstDash val="lgDashDot"/>
            </a:ln>
          </c:spPr>
          <c:marker>
            <c:symbol val="none"/>
          </c:marker>
          <c:xVal>
            <c:numRef>
              <c:f>'Chrom ges'!$T$46:$T$97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'Chrom ges'!$U$46:$U$97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F802-42CD-9119-609A6E1B40AC}"/>
            </c:ext>
          </c:extLst>
        </c:ser>
        <c:ser>
          <c:idx val="3"/>
          <c:order val="3"/>
          <c:tx>
            <c:v>Q95 No</c:v>
          </c:tx>
          <c:spPr>
            <a:ln w="12700">
              <a:solidFill>
                <a:srgbClr val="0000FF"/>
              </a:solidFill>
              <a:prstDash val="sysDash"/>
            </a:ln>
          </c:spPr>
          <c:marker>
            <c:symbol val="none"/>
          </c:marker>
          <c:xVal>
            <c:numRef>
              <c:f>'Chrom ges'!$U$3:$V$3</c:f>
              <c:numCache>
                <c:formatCode>0.000</c:formatCode>
                <c:ptCount val="2"/>
                <c:pt idx="0">
                  <c:v>0</c:v>
                </c:pt>
                <c:pt idx="1">
                  <c:v>0</c:v>
                </c:pt>
              </c:numCache>
            </c:numRef>
          </c:xVal>
          <c:yVal>
            <c:numRef>
              <c:f>'Chrom ges'!$U$2:$V$2</c:f>
              <c:numCache>
                <c:formatCode>General</c:formatCode>
                <c:ptCount val="2"/>
                <c:pt idx="0">
                  <c:v>0</c:v>
                </c:pt>
                <c:pt idx="1">
                  <c:v>1000</c:v>
                </c:pt>
              </c:numCache>
            </c:numRef>
          </c:yVal>
          <c:smooth val="0"/>
          <c:extLst>
            <c:ext xmlns:c16="http://schemas.microsoft.com/office/drawing/2014/chart" uri="{C3380CC4-5D6E-409C-BE32-E72D297353CC}">
              <c16:uniqueId val="{00000003-F802-42CD-9119-609A6E1B40AC}"/>
            </c:ext>
          </c:extLst>
        </c:ser>
        <c:ser>
          <c:idx val="4"/>
          <c:order val="4"/>
          <c:tx>
            <c:v>Q95 Lo</c:v>
          </c:tx>
          <c:spPr>
            <a:ln w="12700">
              <a:solidFill>
                <a:srgbClr val="FF00FF"/>
              </a:solidFill>
              <a:prstDash val="sysDash"/>
            </a:ln>
          </c:spPr>
          <c:marker>
            <c:symbol val="none"/>
          </c:marker>
          <c:xVal>
            <c:numRef>
              <c:f>'Chrom ges'!$U$4:$V$4</c:f>
              <c:numCache>
                <c:formatCode>0.000</c:formatCode>
                <c:ptCount val="2"/>
                <c:pt idx="0">
                  <c:v>0</c:v>
                </c:pt>
                <c:pt idx="1">
                  <c:v>0</c:v>
                </c:pt>
              </c:numCache>
            </c:numRef>
          </c:xVal>
          <c:yVal>
            <c:numRef>
              <c:f>'Chrom ges'!$U$2:$V$2</c:f>
              <c:numCache>
                <c:formatCode>General</c:formatCode>
                <c:ptCount val="2"/>
                <c:pt idx="0">
                  <c:v>0</c:v>
                </c:pt>
                <c:pt idx="1">
                  <c:v>1000</c:v>
                </c:pt>
              </c:numCache>
            </c:numRef>
          </c:yVal>
          <c:smooth val="0"/>
          <c:extLst>
            <c:ext xmlns:c16="http://schemas.microsoft.com/office/drawing/2014/chart" uri="{C3380CC4-5D6E-409C-BE32-E72D297353CC}">
              <c16:uniqueId val="{00000004-F802-42CD-9119-609A6E1B40AC}"/>
            </c:ext>
          </c:extLst>
        </c:ser>
        <c:ser>
          <c:idx val="5"/>
          <c:order val="5"/>
          <c:tx>
            <c:v>Q98 No</c:v>
          </c:tx>
          <c:spPr>
            <a:ln w="12700">
              <a:solidFill>
                <a:srgbClr val="0000FF"/>
              </a:solidFill>
              <a:prstDash val="solid"/>
            </a:ln>
          </c:spPr>
          <c:marker>
            <c:symbol val="none"/>
          </c:marker>
          <c:xVal>
            <c:numRef>
              <c:f>'Chrom ges'!$U$5:$V$5</c:f>
              <c:numCache>
                <c:formatCode>0.000</c:formatCode>
                <c:ptCount val="2"/>
                <c:pt idx="0">
                  <c:v>0</c:v>
                </c:pt>
                <c:pt idx="1">
                  <c:v>0</c:v>
                </c:pt>
              </c:numCache>
            </c:numRef>
          </c:xVal>
          <c:yVal>
            <c:numRef>
              <c:f>'Chrom ges'!$U$2:$V$2</c:f>
              <c:numCache>
                <c:formatCode>General</c:formatCode>
                <c:ptCount val="2"/>
                <c:pt idx="0">
                  <c:v>0</c:v>
                </c:pt>
                <c:pt idx="1">
                  <c:v>1000</c:v>
                </c:pt>
              </c:numCache>
            </c:numRef>
          </c:yVal>
          <c:smooth val="0"/>
          <c:extLst>
            <c:ext xmlns:c16="http://schemas.microsoft.com/office/drawing/2014/chart" uri="{C3380CC4-5D6E-409C-BE32-E72D297353CC}">
              <c16:uniqueId val="{00000005-F802-42CD-9119-609A6E1B40AC}"/>
            </c:ext>
          </c:extLst>
        </c:ser>
        <c:ser>
          <c:idx val="6"/>
          <c:order val="6"/>
          <c:tx>
            <c:v>Q98 Lo</c:v>
          </c:tx>
          <c:spPr>
            <a:ln w="12700">
              <a:solidFill>
                <a:srgbClr val="FF00FF"/>
              </a:solidFill>
              <a:prstDash val="solid"/>
            </a:ln>
          </c:spPr>
          <c:marker>
            <c:symbol val="none"/>
          </c:marker>
          <c:xVal>
            <c:numRef>
              <c:f>'Chrom ges'!$U$6:$V$6</c:f>
              <c:numCache>
                <c:formatCode>0.000</c:formatCode>
                <c:ptCount val="2"/>
                <c:pt idx="0">
                  <c:v>0</c:v>
                </c:pt>
                <c:pt idx="1">
                  <c:v>0</c:v>
                </c:pt>
              </c:numCache>
            </c:numRef>
          </c:xVal>
          <c:yVal>
            <c:numRef>
              <c:f>'Chrom ges'!$U$2:$V$2</c:f>
              <c:numCache>
                <c:formatCode>General</c:formatCode>
                <c:ptCount val="2"/>
                <c:pt idx="0">
                  <c:v>0</c:v>
                </c:pt>
                <c:pt idx="1">
                  <c:v>1000</c:v>
                </c:pt>
              </c:numCache>
            </c:numRef>
          </c:yVal>
          <c:smooth val="0"/>
          <c:extLst>
            <c:ext xmlns:c16="http://schemas.microsoft.com/office/drawing/2014/chart" uri="{C3380CC4-5D6E-409C-BE32-E72D297353CC}">
              <c16:uniqueId val="{00000006-F802-42CD-9119-609A6E1B40AC}"/>
            </c:ext>
          </c:extLst>
        </c:ser>
        <c:ser>
          <c:idx val="7"/>
          <c:order val="7"/>
          <c:tx>
            <c:v>Q95u</c:v>
          </c:tx>
          <c:spPr>
            <a:ln w="12700">
              <a:solidFill>
                <a:srgbClr val="0000FF"/>
              </a:solidFill>
              <a:prstDash val="sysDash"/>
            </a:ln>
          </c:spPr>
          <c:marker>
            <c:symbol val="none"/>
          </c:marker>
          <c:xVal>
            <c:numRef>
              <c:f>'Chrom ges'!$U$7:$V$7</c:f>
              <c:numCache>
                <c:formatCode>0.000</c:formatCode>
                <c:ptCount val="2"/>
                <c:pt idx="0">
                  <c:v>0</c:v>
                </c:pt>
                <c:pt idx="1">
                  <c:v>0</c:v>
                </c:pt>
              </c:numCache>
            </c:numRef>
          </c:xVal>
          <c:yVal>
            <c:numRef>
              <c:f>'Chrom ges'!$U$2:$V$2</c:f>
              <c:numCache>
                <c:formatCode>General</c:formatCode>
                <c:ptCount val="2"/>
                <c:pt idx="0">
                  <c:v>0</c:v>
                </c:pt>
                <c:pt idx="1">
                  <c:v>1000</c:v>
                </c:pt>
              </c:numCache>
            </c:numRef>
          </c:yVal>
          <c:smooth val="0"/>
          <c:extLst>
            <c:ext xmlns:c16="http://schemas.microsoft.com/office/drawing/2014/chart" uri="{C3380CC4-5D6E-409C-BE32-E72D297353CC}">
              <c16:uniqueId val="{00000007-F802-42CD-9119-609A6E1B40AC}"/>
            </c:ext>
          </c:extLst>
        </c:ser>
        <c:ser>
          <c:idx val="8"/>
          <c:order val="8"/>
          <c:tx>
            <c:v>Q95u Lo</c:v>
          </c:tx>
          <c:spPr>
            <a:ln w="12700">
              <a:solidFill>
                <a:srgbClr val="FF00FF"/>
              </a:solidFill>
              <a:prstDash val="sysDash"/>
            </a:ln>
          </c:spPr>
          <c:marker>
            <c:symbol val="none"/>
          </c:marker>
          <c:xVal>
            <c:numRef>
              <c:f>'Chrom ges'!$U$8:$V$8</c:f>
              <c:numCache>
                <c:formatCode>0.000</c:formatCode>
                <c:ptCount val="2"/>
                <c:pt idx="0">
                  <c:v>0</c:v>
                </c:pt>
                <c:pt idx="1">
                  <c:v>0</c:v>
                </c:pt>
              </c:numCache>
            </c:numRef>
          </c:xVal>
          <c:yVal>
            <c:numRef>
              <c:f>'Chrom ges'!$U$2:$V$2</c:f>
              <c:numCache>
                <c:formatCode>General</c:formatCode>
                <c:ptCount val="2"/>
                <c:pt idx="0">
                  <c:v>0</c:v>
                </c:pt>
                <c:pt idx="1">
                  <c:v>1000</c:v>
                </c:pt>
              </c:numCache>
            </c:numRef>
          </c:yVal>
          <c:smooth val="0"/>
          <c:extLst>
            <c:ext xmlns:c16="http://schemas.microsoft.com/office/drawing/2014/chart" uri="{C3380CC4-5D6E-409C-BE32-E72D297353CC}">
              <c16:uniqueId val="{00000008-F802-42CD-9119-609A6E1B40AC}"/>
            </c:ext>
          </c:extLst>
        </c:ser>
        <c:ser>
          <c:idx val="9"/>
          <c:order val="9"/>
          <c:tx>
            <c:v>Median</c:v>
          </c:tx>
          <c:spPr>
            <a:ln w="12700">
              <a:solidFill>
                <a:srgbClr val="969696"/>
              </a:solidFill>
              <a:prstDash val="lgDashDotDot"/>
            </a:ln>
          </c:spPr>
          <c:marker>
            <c:symbol val="none"/>
          </c:marker>
          <c:xVal>
            <c:numRef>
              <c:f>'Chrom ges'!$U$11:$V$11</c:f>
              <c:numCache>
                <c:formatCode>0.000</c:formatCode>
                <c:ptCount val="2"/>
                <c:pt idx="0">
                  <c:v>0</c:v>
                </c:pt>
                <c:pt idx="1">
                  <c:v>0</c:v>
                </c:pt>
              </c:numCache>
            </c:numRef>
          </c:xVal>
          <c:yVal>
            <c:numRef>
              <c:f>'Chrom ges'!$U$2:$V$2</c:f>
              <c:numCache>
                <c:formatCode>General</c:formatCode>
                <c:ptCount val="2"/>
                <c:pt idx="0">
                  <c:v>0</c:v>
                </c:pt>
                <c:pt idx="1">
                  <c:v>1000</c:v>
                </c:pt>
              </c:numCache>
            </c:numRef>
          </c:yVal>
          <c:smooth val="0"/>
          <c:extLst>
            <c:ext xmlns:c16="http://schemas.microsoft.com/office/drawing/2014/chart" uri="{C3380CC4-5D6E-409C-BE32-E72D297353CC}">
              <c16:uniqueId val="{00000009-F802-42CD-9119-609A6E1B40AC}"/>
            </c:ext>
          </c:extLst>
        </c:ser>
        <c:dLbls>
          <c:showLegendKey val="0"/>
          <c:showVal val="0"/>
          <c:showCatName val="0"/>
          <c:showSerName val="0"/>
          <c:showPercent val="0"/>
          <c:showBubbleSize val="0"/>
        </c:dLbls>
        <c:axId val="157449216"/>
        <c:axId val="157459200"/>
      </c:scatterChart>
      <c:valAx>
        <c:axId val="157449216"/>
        <c:scaling>
          <c:orientation val="minMax"/>
          <c:max val="2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7459200"/>
        <c:crosses val="autoZero"/>
        <c:crossBetween val="midCat"/>
        <c:majorUnit val="5"/>
        <c:minorUnit val="1"/>
      </c:valAx>
      <c:valAx>
        <c:axId val="157459200"/>
        <c:scaling>
          <c:orientation val="minMax"/>
          <c:max val="0.4"/>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7449216"/>
        <c:crosses val="autoZero"/>
        <c:crossBetween val="midCat"/>
        <c:majorUnit val="0.1"/>
        <c:minorUnit val="0.1"/>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'Chrom ges'!$M$3:$M$252</c:f>
              <c:numCache>
                <c:formatCode>d/m/yyyy;@</c:formatCode>
                <c:ptCount val="250"/>
              </c:numCache>
            </c:numRef>
          </c:xVal>
          <c:yVal>
            <c:numRef>
              <c:f>'Chrom ges'!$N$3:$N$252</c:f>
              <c:numCache>
                <c:formatCode>General</c:formatCode>
                <c:ptCount val="250"/>
              </c:numCache>
            </c:numRef>
          </c:yVal>
          <c:smooth val="0"/>
          <c:extLst>
            <c:ext xmlns:c16="http://schemas.microsoft.com/office/drawing/2014/chart" uri="{C3380CC4-5D6E-409C-BE32-E72D297353CC}">
              <c16:uniqueId val="{00000000-FF1E-434B-BA1A-7D9FE6866C11}"/>
            </c:ext>
          </c:extLst>
        </c:ser>
        <c:ser>
          <c:idx val="1"/>
          <c:order val="1"/>
          <c:tx>
            <c:v>Q95</c:v>
          </c:tx>
          <c:spPr>
            <a:ln w="12700">
              <a:solidFill>
                <a:srgbClr val="0000FF"/>
              </a:solidFill>
              <a:prstDash val="sysDash"/>
            </a:ln>
          </c:spPr>
          <c:marker>
            <c:symbol val="none"/>
          </c:marker>
          <c:xVal>
            <c:numRef>
              <c:f>'Chrom ges'!$E$57:$E$58</c:f>
              <c:numCache>
                <c:formatCode>m/d/yyyy</c:formatCode>
                <c:ptCount val="2"/>
                <c:pt idx="0">
                  <c:v>1</c:v>
                </c:pt>
                <c:pt idx="1">
                  <c:v>73415</c:v>
                </c:pt>
              </c:numCache>
            </c:numRef>
          </c:xVal>
          <c:yVal>
            <c:numRef>
              <c:f>'Chrom ges'!$F$57:$F$58</c:f>
              <c:numCache>
                <c:formatCode>0.000</c:formatCode>
                <c:ptCount val="2"/>
                <c:pt idx="0">
                  <c:v>0</c:v>
                </c:pt>
                <c:pt idx="1">
                  <c:v>0</c:v>
                </c:pt>
              </c:numCache>
            </c:numRef>
          </c:yVal>
          <c:smooth val="0"/>
          <c:extLst>
            <c:ext xmlns:c16="http://schemas.microsoft.com/office/drawing/2014/chart" uri="{C3380CC4-5D6E-409C-BE32-E72D297353CC}">
              <c16:uniqueId val="{00000001-FF1E-434B-BA1A-7D9FE6866C11}"/>
            </c:ext>
          </c:extLst>
        </c:ser>
        <c:ser>
          <c:idx val="4"/>
          <c:order val="2"/>
          <c:tx>
            <c:v>Q95Log</c:v>
          </c:tx>
          <c:spPr>
            <a:ln w="12700">
              <a:solidFill>
                <a:srgbClr val="FF00FF"/>
              </a:solidFill>
              <a:prstDash val="sysDash"/>
            </a:ln>
          </c:spPr>
          <c:marker>
            <c:symbol val="none"/>
          </c:marker>
          <c:xVal>
            <c:numRef>
              <c:f>'Chrom ges'!$E$57:$E$58</c:f>
              <c:numCache>
                <c:formatCode>m/d/yyyy</c:formatCode>
                <c:ptCount val="2"/>
                <c:pt idx="0">
                  <c:v>1</c:v>
                </c:pt>
                <c:pt idx="1">
                  <c:v>73415</c:v>
                </c:pt>
              </c:numCache>
            </c:numRef>
          </c:xVal>
          <c:yVal>
            <c:numRef>
              <c:f>'Chrom ges'!$J$57:$J$58</c:f>
              <c:numCache>
                <c:formatCode>0.000</c:formatCode>
                <c:ptCount val="2"/>
                <c:pt idx="0">
                  <c:v>0</c:v>
                </c:pt>
                <c:pt idx="1">
                  <c:v>0</c:v>
                </c:pt>
              </c:numCache>
            </c:numRef>
          </c:yVal>
          <c:smooth val="0"/>
          <c:extLst>
            <c:ext xmlns:c16="http://schemas.microsoft.com/office/drawing/2014/chart" uri="{C3380CC4-5D6E-409C-BE32-E72D297353CC}">
              <c16:uniqueId val="{00000002-FF1E-434B-BA1A-7D9FE6866C11}"/>
            </c:ext>
          </c:extLst>
        </c:ser>
        <c:ser>
          <c:idx val="9"/>
          <c:order val="3"/>
          <c:tx>
            <c:v>vT</c:v>
          </c:tx>
          <c:spPr>
            <a:ln w="12700">
              <a:solidFill>
                <a:srgbClr val="808080"/>
              </a:solidFill>
              <a:prstDash val="sysDash"/>
            </a:ln>
          </c:spPr>
          <c:marker>
            <c:symbol val="none"/>
          </c:marker>
          <c:xVal>
            <c:numRef>
              <c:f>'Chrom ges'!$G$122:$G$123</c:f>
              <c:numCache>
                <c:formatCode>d/m/yyyy;@</c:formatCode>
                <c:ptCount val="2"/>
                <c:pt idx="0">
                  <c:v>0</c:v>
                </c:pt>
                <c:pt idx="1">
                  <c:v>0</c:v>
                </c:pt>
              </c:numCache>
            </c:numRef>
          </c:xVal>
          <c:yVal>
            <c:numRef>
              <c:f>'Chrom ges'!$I$122:$I$123</c:f>
              <c:numCache>
                <c:formatCode>General</c:formatCode>
                <c:ptCount val="2"/>
                <c:pt idx="0">
                  <c:v>0</c:v>
                </c:pt>
                <c:pt idx="1">
                  <c:v>0</c:v>
                </c:pt>
              </c:numCache>
            </c:numRef>
          </c:yVal>
          <c:smooth val="0"/>
          <c:extLst>
            <c:ext xmlns:c16="http://schemas.microsoft.com/office/drawing/2014/chart" uri="{C3380CC4-5D6E-409C-BE32-E72D297353CC}">
              <c16:uniqueId val="{00000003-FF1E-434B-BA1A-7D9FE6866C11}"/>
            </c:ext>
          </c:extLst>
        </c:ser>
        <c:ser>
          <c:idx val="10"/>
          <c:order val="4"/>
          <c:tx>
            <c:v>Trend</c:v>
          </c:tx>
          <c:spPr>
            <a:ln w="12700">
              <a:solidFill>
                <a:srgbClr val="808080"/>
              </a:solidFill>
              <a:prstDash val="solid"/>
            </a:ln>
          </c:spPr>
          <c:marker>
            <c:symbol val="none"/>
          </c:marker>
          <c:xVal>
            <c:numRef>
              <c:f>'Chrom ges'!$G$122:$G$123</c:f>
              <c:numCache>
                <c:formatCode>d/m/yyyy;@</c:formatCode>
                <c:ptCount val="2"/>
                <c:pt idx="0">
                  <c:v>0</c:v>
                </c:pt>
                <c:pt idx="1">
                  <c:v>0</c:v>
                </c:pt>
              </c:numCache>
            </c:numRef>
          </c:xVal>
          <c:yVal>
            <c:numRef>
              <c:f>'Chrom ges'!$J$122:$J$123</c:f>
              <c:numCache>
                <c:formatCode>General</c:formatCode>
                <c:ptCount val="2"/>
                <c:pt idx="0">
                  <c:v>0</c:v>
                </c:pt>
                <c:pt idx="1">
                  <c:v>0</c:v>
                </c:pt>
              </c:numCache>
            </c:numRef>
          </c:yVal>
          <c:smooth val="0"/>
          <c:extLst>
            <c:ext xmlns:c16="http://schemas.microsoft.com/office/drawing/2014/chart" uri="{C3380CC4-5D6E-409C-BE32-E72D297353CC}">
              <c16:uniqueId val="{00000004-FF1E-434B-BA1A-7D9FE6866C11}"/>
            </c:ext>
          </c:extLst>
        </c:ser>
        <c:ser>
          <c:idx val="2"/>
          <c:order val="5"/>
          <c:tx>
            <c:v>Q95u</c:v>
          </c:tx>
          <c:spPr>
            <a:ln w="12700">
              <a:solidFill>
                <a:srgbClr val="0000FF"/>
              </a:solidFill>
              <a:prstDash val="sysDash"/>
            </a:ln>
          </c:spPr>
          <c:marker>
            <c:symbol val="none"/>
          </c:marker>
          <c:xVal>
            <c:numRef>
              <c:f>'Chrom ges'!$E$57:$E$58</c:f>
              <c:numCache>
                <c:formatCode>m/d/yyyy</c:formatCode>
                <c:ptCount val="2"/>
                <c:pt idx="0">
                  <c:v>1</c:v>
                </c:pt>
                <c:pt idx="1">
                  <c:v>73415</c:v>
                </c:pt>
              </c:numCache>
            </c:numRef>
          </c:xVal>
          <c:yVal>
            <c:numRef>
              <c:f>'Chrom ges'!$G$57:$G$58</c:f>
              <c:numCache>
                <c:formatCode>0.000</c:formatCode>
                <c:ptCount val="2"/>
                <c:pt idx="0">
                  <c:v>0</c:v>
                </c:pt>
                <c:pt idx="1">
                  <c:v>0</c:v>
                </c:pt>
              </c:numCache>
            </c:numRef>
          </c:yVal>
          <c:smooth val="0"/>
          <c:extLst>
            <c:ext xmlns:c16="http://schemas.microsoft.com/office/drawing/2014/chart" uri="{C3380CC4-5D6E-409C-BE32-E72D297353CC}">
              <c16:uniqueId val="{00000005-FF1E-434B-BA1A-7D9FE6866C11}"/>
            </c:ext>
          </c:extLst>
        </c:ser>
        <c:ser>
          <c:idx val="3"/>
          <c:order val="6"/>
          <c:tx>
            <c:v>Q98</c:v>
          </c:tx>
          <c:spPr>
            <a:ln w="12700">
              <a:solidFill>
                <a:srgbClr val="0000FF"/>
              </a:solidFill>
              <a:prstDash val="solid"/>
            </a:ln>
          </c:spPr>
          <c:marker>
            <c:symbol val="none"/>
          </c:marker>
          <c:xVal>
            <c:numRef>
              <c:f>'Chrom ges'!$E$57:$E$58</c:f>
              <c:numCache>
                <c:formatCode>m/d/yyyy</c:formatCode>
                <c:ptCount val="2"/>
                <c:pt idx="0">
                  <c:v>1</c:v>
                </c:pt>
                <c:pt idx="1">
                  <c:v>73415</c:v>
                </c:pt>
              </c:numCache>
            </c:numRef>
          </c:xVal>
          <c:yVal>
            <c:numRef>
              <c:f>'Chrom ges'!$H$57:$H$58</c:f>
              <c:numCache>
                <c:formatCode>0.000</c:formatCode>
                <c:ptCount val="2"/>
                <c:pt idx="0">
                  <c:v>0</c:v>
                </c:pt>
                <c:pt idx="1">
                  <c:v>0</c:v>
                </c:pt>
              </c:numCache>
            </c:numRef>
          </c:yVal>
          <c:smooth val="0"/>
          <c:extLst>
            <c:ext xmlns:c16="http://schemas.microsoft.com/office/drawing/2014/chart" uri="{C3380CC4-5D6E-409C-BE32-E72D297353CC}">
              <c16:uniqueId val="{00000006-FF1E-434B-BA1A-7D9FE6866C11}"/>
            </c:ext>
          </c:extLst>
        </c:ser>
        <c:ser>
          <c:idx val="6"/>
          <c:order val="7"/>
          <c:tx>
            <c:v>Q98Log</c:v>
          </c:tx>
          <c:spPr>
            <a:ln w="12700">
              <a:solidFill>
                <a:srgbClr val="CC00FF"/>
              </a:solidFill>
            </a:ln>
          </c:spPr>
          <c:marker>
            <c:symbol val="none"/>
          </c:marker>
          <c:xVal>
            <c:numRef>
              <c:f>'Chrom ges'!$E$57:$E$58</c:f>
              <c:numCache>
                <c:formatCode>m/d/yyyy</c:formatCode>
                <c:ptCount val="2"/>
                <c:pt idx="0">
                  <c:v>1</c:v>
                </c:pt>
                <c:pt idx="1">
                  <c:v>73415</c:v>
                </c:pt>
              </c:numCache>
            </c:numRef>
          </c:xVal>
          <c:yVal>
            <c:numRef>
              <c:f>'Chrom ges'!$K$57:$K$58</c:f>
              <c:numCache>
                <c:formatCode>0.000</c:formatCode>
                <c:ptCount val="2"/>
                <c:pt idx="0">
                  <c:v>0</c:v>
                </c:pt>
                <c:pt idx="1">
                  <c:v>0</c:v>
                </c:pt>
              </c:numCache>
            </c:numRef>
          </c:yVal>
          <c:smooth val="0"/>
          <c:extLst>
            <c:ext xmlns:c16="http://schemas.microsoft.com/office/drawing/2014/chart" uri="{C3380CC4-5D6E-409C-BE32-E72D297353CC}">
              <c16:uniqueId val="{00000007-FF1E-434B-BA1A-7D9FE6866C11}"/>
            </c:ext>
          </c:extLst>
        </c:ser>
        <c:dLbls>
          <c:showLegendKey val="0"/>
          <c:showVal val="0"/>
          <c:showCatName val="0"/>
          <c:showSerName val="0"/>
          <c:showPercent val="0"/>
          <c:showBubbleSize val="0"/>
        </c:dLbls>
        <c:axId val="157513216"/>
        <c:axId val="157514752"/>
      </c:scatterChart>
      <c:valAx>
        <c:axId val="157513216"/>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7514752"/>
        <c:crossesAt val="0"/>
        <c:crossBetween val="midCat"/>
        <c:majorUnit val="1461"/>
        <c:minorUnit val="365.25"/>
      </c:valAx>
      <c:valAx>
        <c:axId val="157514752"/>
        <c:scaling>
          <c:orientation val="minMax"/>
          <c:max val="2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7513216"/>
        <c:crossesAt val="0"/>
        <c:crossBetween val="midCat"/>
        <c:majorUnit val="5"/>
        <c:minorUnit val="1"/>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Kupfer!$F$63:$F$113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Kupfer!$G$63:$G$113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CE7A-44E0-8418-AE5FD2892EEF}"/>
            </c:ext>
          </c:extLst>
        </c:ser>
        <c:ser>
          <c:idx val="1"/>
          <c:order val="1"/>
          <c:tx>
            <c:v>LogNormalverteilung</c:v>
          </c:tx>
          <c:spPr>
            <a:ln w="25400">
              <a:solidFill>
                <a:srgbClr val="FF00FF"/>
              </a:solidFill>
              <a:prstDash val="solid"/>
            </a:ln>
          </c:spPr>
          <c:marker>
            <c:symbol val="none"/>
          </c:marker>
          <c:xVal>
            <c:numRef>
              <c:f>Kupfer!$I$63:$I$113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Kupfer!$J$63:$J$113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CE7A-44E0-8418-AE5FD2892EEF}"/>
            </c:ext>
          </c:extLst>
        </c:ser>
        <c:ser>
          <c:idx val="2"/>
          <c:order val="2"/>
          <c:tx>
            <c:v>Histogramm</c:v>
          </c:tx>
          <c:spPr>
            <a:ln w="25400">
              <a:solidFill>
                <a:srgbClr val="969696"/>
              </a:solidFill>
              <a:prstDash val="lgDashDot"/>
            </a:ln>
          </c:spPr>
          <c:marker>
            <c:symbol val="none"/>
          </c:marker>
          <c:xVal>
            <c:numRef>
              <c:f>Kupfer!$T$46:$T$97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Kupfer!$U$46:$U$97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CE7A-44E0-8418-AE5FD2892EEF}"/>
            </c:ext>
          </c:extLst>
        </c:ser>
        <c:ser>
          <c:idx val="3"/>
          <c:order val="3"/>
          <c:tx>
            <c:v>Q95 No</c:v>
          </c:tx>
          <c:spPr>
            <a:ln w="12700">
              <a:solidFill>
                <a:srgbClr val="0000FF"/>
              </a:solidFill>
              <a:prstDash val="sysDash"/>
            </a:ln>
          </c:spPr>
          <c:marker>
            <c:symbol val="none"/>
          </c:marker>
          <c:xVal>
            <c:numRef>
              <c:f>Kupfer!$U$3:$V$3</c:f>
              <c:numCache>
                <c:formatCode>0.000</c:formatCode>
                <c:ptCount val="2"/>
                <c:pt idx="0">
                  <c:v>0</c:v>
                </c:pt>
                <c:pt idx="1">
                  <c:v>0</c:v>
                </c:pt>
              </c:numCache>
            </c:numRef>
          </c:xVal>
          <c:yVal>
            <c:numRef>
              <c:f>Kupfer!$U$2:$V$2</c:f>
              <c:numCache>
                <c:formatCode>General</c:formatCode>
                <c:ptCount val="2"/>
                <c:pt idx="0">
                  <c:v>0</c:v>
                </c:pt>
                <c:pt idx="1">
                  <c:v>1000</c:v>
                </c:pt>
              </c:numCache>
            </c:numRef>
          </c:yVal>
          <c:smooth val="0"/>
          <c:extLst>
            <c:ext xmlns:c16="http://schemas.microsoft.com/office/drawing/2014/chart" uri="{C3380CC4-5D6E-409C-BE32-E72D297353CC}">
              <c16:uniqueId val="{00000003-CE7A-44E0-8418-AE5FD2892EEF}"/>
            </c:ext>
          </c:extLst>
        </c:ser>
        <c:ser>
          <c:idx val="4"/>
          <c:order val="4"/>
          <c:tx>
            <c:v>Q95 Lo</c:v>
          </c:tx>
          <c:spPr>
            <a:ln w="12700">
              <a:solidFill>
                <a:srgbClr val="FF00FF"/>
              </a:solidFill>
              <a:prstDash val="sysDash"/>
            </a:ln>
          </c:spPr>
          <c:marker>
            <c:symbol val="none"/>
          </c:marker>
          <c:xVal>
            <c:numRef>
              <c:f>Kupfer!$U$4:$V$4</c:f>
              <c:numCache>
                <c:formatCode>0.000</c:formatCode>
                <c:ptCount val="2"/>
                <c:pt idx="0">
                  <c:v>0</c:v>
                </c:pt>
                <c:pt idx="1">
                  <c:v>0</c:v>
                </c:pt>
              </c:numCache>
            </c:numRef>
          </c:xVal>
          <c:yVal>
            <c:numRef>
              <c:f>Kupfer!$U$2:$V$2</c:f>
              <c:numCache>
                <c:formatCode>General</c:formatCode>
                <c:ptCount val="2"/>
                <c:pt idx="0">
                  <c:v>0</c:v>
                </c:pt>
                <c:pt idx="1">
                  <c:v>1000</c:v>
                </c:pt>
              </c:numCache>
            </c:numRef>
          </c:yVal>
          <c:smooth val="0"/>
          <c:extLst>
            <c:ext xmlns:c16="http://schemas.microsoft.com/office/drawing/2014/chart" uri="{C3380CC4-5D6E-409C-BE32-E72D297353CC}">
              <c16:uniqueId val="{00000004-CE7A-44E0-8418-AE5FD2892EEF}"/>
            </c:ext>
          </c:extLst>
        </c:ser>
        <c:ser>
          <c:idx val="5"/>
          <c:order val="5"/>
          <c:tx>
            <c:v>Q98 No</c:v>
          </c:tx>
          <c:spPr>
            <a:ln w="12700">
              <a:solidFill>
                <a:srgbClr val="0000FF"/>
              </a:solidFill>
              <a:prstDash val="solid"/>
            </a:ln>
          </c:spPr>
          <c:marker>
            <c:symbol val="none"/>
          </c:marker>
          <c:xVal>
            <c:numRef>
              <c:f>Kupfer!$U$5:$V$5</c:f>
              <c:numCache>
                <c:formatCode>0.000</c:formatCode>
                <c:ptCount val="2"/>
                <c:pt idx="0">
                  <c:v>0</c:v>
                </c:pt>
                <c:pt idx="1">
                  <c:v>0</c:v>
                </c:pt>
              </c:numCache>
            </c:numRef>
          </c:xVal>
          <c:yVal>
            <c:numRef>
              <c:f>Kupfer!$U$2:$V$2</c:f>
              <c:numCache>
                <c:formatCode>General</c:formatCode>
                <c:ptCount val="2"/>
                <c:pt idx="0">
                  <c:v>0</c:v>
                </c:pt>
                <c:pt idx="1">
                  <c:v>1000</c:v>
                </c:pt>
              </c:numCache>
            </c:numRef>
          </c:yVal>
          <c:smooth val="0"/>
          <c:extLst>
            <c:ext xmlns:c16="http://schemas.microsoft.com/office/drawing/2014/chart" uri="{C3380CC4-5D6E-409C-BE32-E72D297353CC}">
              <c16:uniqueId val="{00000005-CE7A-44E0-8418-AE5FD2892EEF}"/>
            </c:ext>
          </c:extLst>
        </c:ser>
        <c:ser>
          <c:idx val="6"/>
          <c:order val="6"/>
          <c:tx>
            <c:v>Q98 Lo</c:v>
          </c:tx>
          <c:spPr>
            <a:ln w="12700">
              <a:solidFill>
                <a:srgbClr val="FF00FF"/>
              </a:solidFill>
              <a:prstDash val="solid"/>
            </a:ln>
          </c:spPr>
          <c:marker>
            <c:symbol val="none"/>
          </c:marker>
          <c:xVal>
            <c:numRef>
              <c:f>Kupfer!$U$6:$V$6</c:f>
              <c:numCache>
                <c:formatCode>0.000</c:formatCode>
                <c:ptCount val="2"/>
                <c:pt idx="0">
                  <c:v>0</c:v>
                </c:pt>
                <c:pt idx="1">
                  <c:v>0</c:v>
                </c:pt>
              </c:numCache>
            </c:numRef>
          </c:xVal>
          <c:yVal>
            <c:numRef>
              <c:f>Kupfer!$U$2:$V$2</c:f>
              <c:numCache>
                <c:formatCode>General</c:formatCode>
                <c:ptCount val="2"/>
                <c:pt idx="0">
                  <c:v>0</c:v>
                </c:pt>
                <c:pt idx="1">
                  <c:v>1000</c:v>
                </c:pt>
              </c:numCache>
            </c:numRef>
          </c:yVal>
          <c:smooth val="0"/>
          <c:extLst>
            <c:ext xmlns:c16="http://schemas.microsoft.com/office/drawing/2014/chart" uri="{C3380CC4-5D6E-409C-BE32-E72D297353CC}">
              <c16:uniqueId val="{00000006-CE7A-44E0-8418-AE5FD2892EEF}"/>
            </c:ext>
          </c:extLst>
        </c:ser>
        <c:ser>
          <c:idx val="7"/>
          <c:order val="7"/>
          <c:tx>
            <c:v>Q95u</c:v>
          </c:tx>
          <c:spPr>
            <a:ln w="12700">
              <a:solidFill>
                <a:srgbClr val="0000FF"/>
              </a:solidFill>
              <a:prstDash val="sysDash"/>
            </a:ln>
          </c:spPr>
          <c:marker>
            <c:symbol val="none"/>
          </c:marker>
          <c:xVal>
            <c:numRef>
              <c:f>Kupfer!$U$7:$V$7</c:f>
              <c:numCache>
                <c:formatCode>0.000</c:formatCode>
                <c:ptCount val="2"/>
                <c:pt idx="0">
                  <c:v>0</c:v>
                </c:pt>
                <c:pt idx="1">
                  <c:v>0</c:v>
                </c:pt>
              </c:numCache>
            </c:numRef>
          </c:xVal>
          <c:yVal>
            <c:numRef>
              <c:f>Kupfer!$U$2:$V$2</c:f>
              <c:numCache>
                <c:formatCode>General</c:formatCode>
                <c:ptCount val="2"/>
                <c:pt idx="0">
                  <c:v>0</c:v>
                </c:pt>
                <c:pt idx="1">
                  <c:v>1000</c:v>
                </c:pt>
              </c:numCache>
            </c:numRef>
          </c:yVal>
          <c:smooth val="0"/>
          <c:extLst>
            <c:ext xmlns:c16="http://schemas.microsoft.com/office/drawing/2014/chart" uri="{C3380CC4-5D6E-409C-BE32-E72D297353CC}">
              <c16:uniqueId val="{00000007-CE7A-44E0-8418-AE5FD2892EEF}"/>
            </c:ext>
          </c:extLst>
        </c:ser>
        <c:ser>
          <c:idx val="8"/>
          <c:order val="8"/>
          <c:tx>
            <c:v>Q95u Lo</c:v>
          </c:tx>
          <c:spPr>
            <a:ln w="12700">
              <a:solidFill>
                <a:srgbClr val="FF00FF"/>
              </a:solidFill>
              <a:prstDash val="sysDash"/>
            </a:ln>
          </c:spPr>
          <c:marker>
            <c:symbol val="none"/>
          </c:marker>
          <c:xVal>
            <c:numRef>
              <c:f>Kupfer!$U$8:$V$8</c:f>
              <c:numCache>
                <c:formatCode>0.000</c:formatCode>
                <c:ptCount val="2"/>
                <c:pt idx="0">
                  <c:v>0</c:v>
                </c:pt>
                <c:pt idx="1">
                  <c:v>0</c:v>
                </c:pt>
              </c:numCache>
            </c:numRef>
          </c:xVal>
          <c:yVal>
            <c:numRef>
              <c:f>Kupfer!$U$2:$V$2</c:f>
              <c:numCache>
                <c:formatCode>General</c:formatCode>
                <c:ptCount val="2"/>
                <c:pt idx="0">
                  <c:v>0</c:v>
                </c:pt>
                <c:pt idx="1">
                  <c:v>1000</c:v>
                </c:pt>
              </c:numCache>
            </c:numRef>
          </c:yVal>
          <c:smooth val="0"/>
          <c:extLst>
            <c:ext xmlns:c16="http://schemas.microsoft.com/office/drawing/2014/chart" uri="{C3380CC4-5D6E-409C-BE32-E72D297353CC}">
              <c16:uniqueId val="{00000008-CE7A-44E0-8418-AE5FD2892EEF}"/>
            </c:ext>
          </c:extLst>
        </c:ser>
        <c:ser>
          <c:idx val="9"/>
          <c:order val="9"/>
          <c:tx>
            <c:v>Median</c:v>
          </c:tx>
          <c:spPr>
            <a:ln w="12700">
              <a:solidFill>
                <a:srgbClr val="969696"/>
              </a:solidFill>
              <a:prstDash val="lgDashDotDot"/>
            </a:ln>
          </c:spPr>
          <c:marker>
            <c:symbol val="none"/>
          </c:marker>
          <c:xVal>
            <c:numRef>
              <c:f>Kupfer!$U$11:$V$11</c:f>
              <c:numCache>
                <c:formatCode>0.000</c:formatCode>
                <c:ptCount val="2"/>
                <c:pt idx="0">
                  <c:v>0</c:v>
                </c:pt>
                <c:pt idx="1">
                  <c:v>0</c:v>
                </c:pt>
              </c:numCache>
            </c:numRef>
          </c:xVal>
          <c:yVal>
            <c:numRef>
              <c:f>Kupfer!$U$2:$V$2</c:f>
              <c:numCache>
                <c:formatCode>General</c:formatCode>
                <c:ptCount val="2"/>
                <c:pt idx="0">
                  <c:v>0</c:v>
                </c:pt>
                <c:pt idx="1">
                  <c:v>1000</c:v>
                </c:pt>
              </c:numCache>
            </c:numRef>
          </c:yVal>
          <c:smooth val="0"/>
          <c:extLst>
            <c:ext xmlns:c16="http://schemas.microsoft.com/office/drawing/2014/chart" uri="{C3380CC4-5D6E-409C-BE32-E72D297353CC}">
              <c16:uniqueId val="{00000009-CE7A-44E0-8418-AE5FD2892EEF}"/>
            </c:ext>
          </c:extLst>
        </c:ser>
        <c:dLbls>
          <c:showLegendKey val="0"/>
          <c:showVal val="0"/>
          <c:showCatName val="0"/>
          <c:showSerName val="0"/>
          <c:showPercent val="0"/>
          <c:showBubbleSize val="0"/>
        </c:dLbls>
        <c:axId val="154907008"/>
        <c:axId val="154908544"/>
      </c:scatterChart>
      <c:valAx>
        <c:axId val="154907008"/>
        <c:scaling>
          <c:orientation val="minMax"/>
          <c:max val="3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4908544"/>
        <c:crosses val="autoZero"/>
        <c:crossBetween val="midCat"/>
        <c:majorUnit val="5"/>
        <c:minorUnit val="1"/>
      </c:valAx>
      <c:valAx>
        <c:axId val="154908544"/>
        <c:scaling>
          <c:orientation val="minMax"/>
          <c:max val="0.1500000000000000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4907008"/>
        <c:crosses val="autoZero"/>
        <c:crossBetween val="midCat"/>
        <c:majorUnit val="5.000000000000001E-2"/>
        <c:minorUnit val="1.0000000000000002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Kupfer!$M$3:$M$252</c:f>
              <c:numCache>
                <c:formatCode>d/m/yyyy;@</c:formatCode>
                <c:ptCount val="250"/>
              </c:numCache>
            </c:numRef>
          </c:xVal>
          <c:yVal>
            <c:numRef>
              <c:f>Kupfer!$N$3:$N$252</c:f>
              <c:numCache>
                <c:formatCode>General</c:formatCode>
                <c:ptCount val="250"/>
              </c:numCache>
            </c:numRef>
          </c:yVal>
          <c:smooth val="0"/>
          <c:extLst>
            <c:ext xmlns:c16="http://schemas.microsoft.com/office/drawing/2014/chart" uri="{C3380CC4-5D6E-409C-BE32-E72D297353CC}">
              <c16:uniqueId val="{00000000-E9B0-4313-BCCD-94BBB8080130}"/>
            </c:ext>
          </c:extLst>
        </c:ser>
        <c:ser>
          <c:idx val="1"/>
          <c:order val="1"/>
          <c:tx>
            <c:v>Q95</c:v>
          </c:tx>
          <c:spPr>
            <a:ln w="12700">
              <a:solidFill>
                <a:srgbClr val="0000FF"/>
              </a:solidFill>
              <a:prstDash val="sysDash"/>
            </a:ln>
          </c:spPr>
          <c:marker>
            <c:symbol val="none"/>
          </c:marker>
          <c:xVal>
            <c:numRef>
              <c:f>Kupfer!$E$57:$E$58</c:f>
              <c:numCache>
                <c:formatCode>m/d/yyyy</c:formatCode>
                <c:ptCount val="2"/>
                <c:pt idx="0">
                  <c:v>1</c:v>
                </c:pt>
                <c:pt idx="1">
                  <c:v>73415</c:v>
                </c:pt>
              </c:numCache>
            </c:numRef>
          </c:xVal>
          <c:yVal>
            <c:numRef>
              <c:f>Kupfer!$F$57:$F$58</c:f>
              <c:numCache>
                <c:formatCode>0.000</c:formatCode>
                <c:ptCount val="2"/>
                <c:pt idx="0">
                  <c:v>0</c:v>
                </c:pt>
                <c:pt idx="1">
                  <c:v>0</c:v>
                </c:pt>
              </c:numCache>
            </c:numRef>
          </c:yVal>
          <c:smooth val="0"/>
          <c:extLst>
            <c:ext xmlns:c16="http://schemas.microsoft.com/office/drawing/2014/chart" uri="{C3380CC4-5D6E-409C-BE32-E72D297353CC}">
              <c16:uniqueId val="{00000001-E9B0-4313-BCCD-94BBB8080130}"/>
            </c:ext>
          </c:extLst>
        </c:ser>
        <c:ser>
          <c:idx val="4"/>
          <c:order val="2"/>
          <c:tx>
            <c:v>Q95Log</c:v>
          </c:tx>
          <c:spPr>
            <a:ln w="12700">
              <a:solidFill>
                <a:srgbClr val="FF00FF"/>
              </a:solidFill>
              <a:prstDash val="sysDash"/>
            </a:ln>
          </c:spPr>
          <c:marker>
            <c:symbol val="none"/>
          </c:marker>
          <c:xVal>
            <c:numRef>
              <c:f>Kupfer!$E$57:$E$58</c:f>
              <c:numCache>
                <c:formatCode>m/d/yyyy</c:formatCode>
                <c:ptCount val="2"/>
                <c:pt idx="0">
                  <c:v>1</c:v>
                </c:pt>
                <c:pt idx="1">
                  <c:v>73415</c:v>
                </c:pt>
              </c:numCache>
            </c:numRef>
          </c:xVal>
          <c:yVal>
            <c:numRef>
              <c:f>Kupfer!$J$57:$J$58</c:f>
              <c:numCache>
                <c:formatCode>0.000</c:formatCode>
                <c:ptCount val="2"/>
                <c:pt idx="0">
                  <c:v>0</c:v>
                </c:pt>
                <c:pt idx="1">
                  <c:v>0</c:v>
                </c:pt>
              </c:numCache>
            </c:numRef>
          </c:yVal>
          <c:smooth val="0"/>
          <c:extLst>
            <c:ext xmlns:c16="http://schemas.microsoft.com/office/drawing/2014/chart" uri="{C3380CC4-5D6E-409C-BE32-E72D297353CC}">
              <c16:uniqueId val="{00000002-E9B0-4313-BCCD-94BBB8080130}"/>
            </c:ext>
          </c:extLst>
        </c:ser>
        <c:ser>
          <c:idx val="9"/>
          <c:order val="3"/>
          <c:tx>
            <c:v>vT</c:v>
          </c:tx>
          <c:spPr>
            <a:ln w="12700">
              <a:solidFill>
                <a:srgbClr val="808080"/>
              </a:solidFill>
              <a:prstDash val="sysDash"/>
            </a:ln>
          </c:spPr>
          <c:marker>
            <c:symbol val="none"/>
          </c:marker>
          <c:xVal>
            <c:numRef>
              <c:f>Kupfer!$G$122:$G$123</c:f>
              <c:numCache>
                <c:formatCode>d/m/yyyy;@</c:formatCode>
                <c:ptCount val="2"/>
                <c:pt idx="0">
                  <c:v>0</c:v>
                </c:pt>
                <c:pt idx="1">
                  <c:v>0</c:v>
                </c:pt>
              </c:numCache>
            </c:numRef>
          </c:xVal>
          <c:yVal>
            <c:numRef>
              <c:f>Kupfer!$I$122:$I$123</c:f>
              <c:numCache>
                <c:formatCode>General</c:formatCode>
                <c:ptCount val="2"/>
                <c:pt idx="0">
                  <c:v>0</c:v>
                </c:pt>
                <c:pt idx="1">
                  <c:v>0</c:v>
                </c:pt>
              </c:numCache>
            </c:numRef>
          </c:yVal>
          <c:smooth val="0"/>
          <c:extLst>
            <c:ext xmlns:c16="http://schemas.microsoft.com/office/drawing/2014/chart" uri="{C3380CC4-5D6E-409C-BE32-E72D297353CC}">
              <c16:uniqueId val="{00000003-E9B0-4313-BCCD-94BBB8080130}"/>
            </c:ext>
          </c:extLst>
        </c:ser>
        <c:ser>
          <c:idx val="10"/>
          <c:order val="4"/>
          <c:tx>
            <c:v>Trend</c:v>
          </c:tx>
          <c:spPr>
            <a:ln w="12700">
              <a:solidFill>
                <a:srgbClr val="808080"/>
              </a:solidFill>
              <a:prstDash val="solid"/>
            </a:ln>
          </c:spPr>
          <c:marker>
            <c:symbol val="none"/>
          </c:marker>
          <c:xVal>
            <c:numRef>
              <c:f>Kupfer!$G$122:$G$123</c:f>
              <c:numCache>
                <c:formatCode>d/m/yyyy;@</c:formatCode>
                <c:ptCount val="2"/>
                <c:pt idx="0">
                  <c:v>0</c:v>
                </c:pt>
                <c:pt idx="1">
                  <c:v>0</c:v>
                </c:pt>
              </c:numCache>
            </c:numRef>
          </c:xVal>
          <c:yVal>
            <c:numRef>
              <c:f>Kupfer!$J$122:$J$123</c:f>
              <c:numCache>
                <c:formatCode>General</c:formatCode>
                <c:ptCount val="2"/>
                <c:pt idx="0">
                  <c:v>0</c:v>
                </c:pt>
                <c:pt idx="1">
                  <c:v>0</c:v>
                </c:pt>
              </c:numCache>
            </c:numRef>
          </c:yVal>
          <c:smooth val="0"/>
          <c:extLst>
            <c:ext xmlns:c16="http://schemas.microsoft.com/office/drawing/2014/chart" uri="{C3380CC4-5D6E-409C-BE32-E72D297353CC}">
              <c16:uniqueId val="{00000004-E9B0-4313-BCCD-94BBB8080130}"/>
            </c:ext>
          </c:extLst>
        </c:ser>
        <c:ser>
          <c:idx val="2"/>
          <c:order val="5"/>
          <c:tx>
            <c:v>Q95u</c:v>
          </c:tx>
          <c:spPr>
            <a:ln w="12700">
              <a:solidFill>
                <a:srgbClr val="0000FF"/>
              </a:solidFill>
              <a:prstDash val="sysDash"/>
            </a:ln>
          </c:spPr>
          <c:marker>
            <c:symbol val="none"/>
          </c:marker>
          <c:xVal>
            <c:numRef>
              <c:f>Kupfer!$E$57:$E$58</c:f>
              <c:numCache>
                <c:formatCode>m/d/yyyy</c:formatCode>
                <c:ptCount val="2"/>
                <c:pt idx="0">
                  <c:v>1</c:v>
                </c:pt>
                <c:pt idx="1">
                  <c:v>73415</c:v>
                </c:pt>
              </c:numCache>
            </c:numRef>
          </c:xVal>
          <c:yVal>
            <c:numRef>
              <c:f>Kupfer!$G$57:$G$58</c:f>
              <c:numCache>
                <c:formatCode>0.000</c:formatCode>
                <c:ptCount val="2"/>
                <c:pt idx="0">
                  <c:v>0</c:v>
                </c:pt>
                <c:pt idx="1">
                  <c:v>0</c:v>
                </c:pt>
              </c:numCache>
            </c:numRef>
          </c:yVal>
          <c:smooth val="0"/>
          <c:extLst>
            <c:ext xmlns:c16="http://schemas.microsoft.com/office/drawing/2014/chart" uri="{C3380CC4-5D6E-409C-BE32-E72D297353CC}">
              <c16:uniqueId val="{00000005-E9B0-4313-BCCD-94BBB8080130}"/>
            </c:ext>
          </c:extLst>
        </c:ser>
        <c:ser>
          <c:idx val="3"/>
          <c:order val="6"/>
          <c:tx>
            <c:v>Q98</c:v>
          </c:tx>
          <c:spPr>
            <a:ln w="12700">
              <a:solidFill>
                <a:srgbClr val="0000FF"/>
              </a:solidFill>
              <a:prstDash val="solid"/>
            </a:ln>
          </c:spPr>
          <c:marker>
            <c:symbol val="none"/>
          </c:marker>
          <c:xVal>
            <c:numRef>
              <c:f>Kupfer!$E$57:$E$58</c:f>
              <c:numCache>
                <c:formatCode>m/d/yyyy</c:formatCode>
                <c:ptCount val="2"/>
                <c:pt idx="0">
                  <c:v>1</c:v>
                </c:pt>
                <c:pt idx="1">
                  <c:v>73415</c:v>
                </c:pt>
              </c:numCache>
            </c:numRef>
          </c:xVal>
          <c:yVal>
            <c:numRef>
              <c:f>Kupfer!$H$57:$H$58</c:f>
              <c:numCache>
                <c:formatCode>0.000</c:formatCode>
                <c:ptCount val="2"/>
                <c:pt idx="0">
                  <c:v>0</c:v>
                </c:pt>
                <c:pt idx="1">
                  <c:v>0</c:v>
                </c:pt>
              </c:numCache>
            </c:numRef>
          </c:yVal>
          <c:smooth val="0"/>
          <c:extLst>
            <c:ext xmlns:c16="http://schemas.microsoft.com/office/drawing/2014/chart" uri="{C3380CC4-5D6E-409C-BE32-E72D297353CC}">
              <c16:uniqueId val="{00000006-E9B0-4313-BCCD-94BBB8080130}"/>
            </c:ext>
          </c:extLst>
        </c:ser>
        <c:ser>
          <c:idx val="6"/>
          <c:order val="7"/>
          <c:tx>
            <c:v>Q98Log</c:v>
          </c:tx>
          <c:spPr>
            <a:ln w="12700">
              <a:solidFill>
                <a:srgbClr val="CC00FF"/>
              </a:solidFill>
            </a:ln>
          </c:spPr>
          <c:marker>
            <c:symbol val="none"/>
          </c:marker>
          <c:xVal>
            <c:numRef>
              <c:f>Kupfer!$E$57:$E$58</c:f>
              <c:numCache>
                <c:formatCode>m/d/yyyy</c:formatCode>
                <c:ptCount val="2"/>
                <c:pt idx="0">
                  <c:v>1</c:v>
                </c:pt>
                <c:pt idx="1">
                  <c:v>73415</c:v>
                </c:pt>
              </c:numCache>
            </c:numRef>
          </c:xVal>
          <c:yVal>
            <c:numRef>
              <c:f>Kupfer!$K$57:$K$58</c:f>
              <c:numCache>
                <c:formatCode>0.000</c:formatCode>
                <c:ptCount val="2"/>
                <c:pt idx="0">
                  <c:v>0</c:v>
                </c:pt>
                <c:pt idx="1">
                  <c:v>0</c:v>
                </c:pt>
              </c:numCache>
            </c:numRef>
          </c:yVal>
          <c:smooth val="0"/>
          <c:extLst>
            <c:ext xmlns:c16="http://schemas.microsoft.com/office/drawing/2014/chart" uri="{C3380CC4-5D6E-409C-BE32-E72D297353CC}">
              <c16:uniqueId val="{00000007-E9B0-4313-BCCD-94BBB8080130}"/>
            </c:ext>
          </c:extLst>
        </c:ser>
        <c:dLbls>
          <c:showLegendKey val="0"/>
          <c:showVal val="0"/>
          <c:showCatName val="0"/>
          <c:showSerName val="0"/>
          <c:showPercent val="0"/>
          <c:showBubbleSize val="0"/>
        </c:dLbls>
        <c:axId val="156322432"/>
        <c:axId val="156340608"/>
      </c:scatterChart>
      <c:valAx>
        <c:axId val="156322432"/>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6340608"/>
        <c:crossesAt val="0"/>
        <c:crossBetween val="midCat"/>
        <c:majorUnit val="1461"/>
        <c:minorUnit val="365.25"/>
      </c:valAx>
      <c:valAx>
        <c:axId val="156340608"/>
        <c:scaling>
          <c:orientation val="minMax"/>
          <c:max val="6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6322432"/>
        <c:crossesAt val="0"/>
        <c:crossBetween val="midCat"/>
        <c:majorUnit val="10"/>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Molybdän!$F$63:$F$113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Molybdän!$G$63:$G$113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1A07-4CF6-8209-15F742849869}"/>
            </c:ext>
          </c:extLst>
        </c:ser>
        <c:ser>
          <c:idx val="1"/>
          <c:order val="1"/>
          <c:tx>
            <c:v>LogNormalverteilung</c:v>
          </c:tx>
          <c:spPr>
            <a:ln w="25400">
              <a:solidFill>
                <a:srgbClr val="FF00FF"/>
              </a:solidFill>
              <a:prstDash val="solid"/>
            </a:ln>
          </c:spPr>
          <c:marker>
            <c:symbol val="none"/>
          </c:marker>
          <c:xVal>
            <c:numRef>
              <c:f>Molybdän!$I$63:$I$113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Molybdän!$J$63:$J$113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1A07-4CF6-8209-15F742849869}"/>
            </c:ext>
          </c:extLst>
        </c:ser>
        <c:ser>
          <c:idx val="2"/>
          <c:order val="2"/>
          <c:tx>
            <c:v>Histogramm</c:v>
          </c:tx>
          <c:spPr>
            <a:ln w="25400">
              <a:solidFill>
                <a:srgbClr val="969696"/>
              </a:solidFill>
              <a:prstDash val="lgDashDot"/>
            </a:ln>
          </c:spPr>
          <c:marker>
            <c:symbol val="none"/>
          </c:marker>
          <c:xVal>
            <c:numRef>
              <c:f>Molybdän!$T$46:$T$97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Molybdän!$U$46:$U$97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1A07-4CF6-8209-15F742849869}"/>
            </c:ext>
          </c:extLst>
        </c:ser>
        <c:ser>
          <c:idx val="3"/>
          <c:order val="3"/>
          <c:tx>
            <c:v>Q95 No</c:v>
          </c:tx>
          <c:spPr>
            <a:ln w="12700">
              <a:solidFill>
                <a:srgbClr val="0000FF"/>
              </a:solidFill>
              <a:prstDash val="sysDash"/>
            </a:ln>
          </c:spPr>
          <c:marker>
            <c:symbol val="none"/>
          </c:marker>
          <c:xVal>
            <c:numRef>
              <c:f>Molybdän!$U$3:$V$3</c:f>
              <c:numCache>
                <c:formatCode>0.000</c:formatCode>
                <c:ptCount val="2"/>
                <c:pt idx="0">
                  <c:v>0</c:v>
                </c:pt>
                <c:pt idx="1">
                  <c:v>0</c:v>
                </c:pt>
              </c:numCache>
            </c:numRef>
          </c:xVal>
          <c:yVal>
            <c:numRef>
              <c:f>Molybdän!$U$2:$V$2</c:f>
              <c:numCache>
                <c:formatCode>General</c:formatCode>
                <c:ptCount val="2"/>
                <c:pt idx="0">
                  <c:v>0</c:v>
                </c:pt>
                <c:pt idx="1">
                  <c:v>1000</c:v>
                </c:pt>
              </c:numCache>
            </c:numRef>
          </c:yVal>
          <c:smooth val="0"/>
          <c:extLst>
            <c:ext xmlns:c16="http://schemas.microsoft.com/office/drawing/2014/chart" uri="{C3380CC4-5D6E-409C-BE32-E72D297353CC}">
              <c16:uniqueId val="{00000003-1A07-4CF6-8209-15F742849869}"/>
            </c:ext>
          </c:extLst>
        </c:ser>
        <c:ser>
          <c:idx val="4"/>
          <c:order val="4"/>
          <c:tx>
            <c:v>Q95 Lo</c:v>
          </c:tx>
          <c:spPr>
            <a:ln w="12700">
              <a:solidFill>
                <a:srgbClr val="FF00FF"/>
              </a:solidFill>
              <a:prstDash val="sysDash"/>
            </a:ln>
          </c:spPr>
          <c:marker>
            <c:symbol val="none"/>
          </c:marker>
          <c:xVal>
            <c:numRef>
              <c:f>Molybdän!$U$4:$V$4</c:f>
              <c:numCache>
                <c:formatCode>0.000</c:formatCode>
                <c:ptCount val="2"/>
                <c:pt idx="0">
                  <c:v>0</c:v>
                </c:pt>
                <c:pt idx="1">
                  <c:v>0</c:v>
                </c:pt>
              </c:numCache>
            </c:numRef>
          </c:xVal>
          <c:yVal>
            <c:numRef>
              <c:f>Molybdän!$U$2:$V$2</c:f>
              <c:numCache>
                <c:formatCode>General</c:formatCode>
                <c:ptCount val="2"/>
                <c:pt idx="0">
                  <c:v>0</c:v>
                </c:pt>
                <c:pt idx="1">
                  <c:v>1000</c:v>
                </c:pt>
              </c:numCache>
            </c:numRef>
          </c:yVal>
          <c:smooth val="0"/>
          <c:extLst>
            <c:ext xmlns:c16="http://schemas.microsoft.com/office/drawing/2014/chart" uri="{C3380CC4-5D6E-409C-BE32-E72D297353CC}">
              <c16:uniqueId val="{00000004-1A07-4CF6-8209-15F742849869}"/>
            </c:ext>
          </c:extLst>
        </c:ser>
        <c:ser>
          <c:idx val="5"/>
          <c:order val="5"/>
          <c:tx>
            <c:v>Q98 No</c:v>
          </c:tx>
          <c:spPr>
            <a:ln w="12700">
              <a:solidFill>
                <a:srgbClr val="0000FF"/>
              </a:solidFill>
              <a:prstDash val="solid"/>
            </a:ln>
          </c:spPr>
          <c:marker>
            <c:symbol val="none"/>
          </c:marker>
          <c:xVal>
            <c:numRef>
              <c:f>Molybdän!$U$5:$V$5</c:f>
              <c:numCache>
                <c:formatCode>0.000</c:formatCode>
                <c:ptCount val="2"/>
                <c:pt idx="0">
                  <c:v>0</c:v>
                </c:pt>
                <c:pt idx="1">
                  <c:v>0</c:v>
                </c:pt>
              </c:numCache>
            </c:numRef>
          </c:xVal>
          <c:yVal>
            <c:numRef>
              <c:f>Molybdän!$U$2:$V$2</c:f>
              <c:numCache>
                <c:formatCode>General</c:formatCode>
                <c:ptCount val="2"/>
                <c:pt idx="0">
                  <c:v>0</c:v>
                </c:pt>
                <c:pt idx="1">
                  <c:v>1000</c:v>
                </c:pt>
              </c:numCache>
            </c:numRef>
          </c:yVal>
          <c:smooth val="0"/>
          <c:extLst>
            <c:ext xmlns:c16="http://schemas.microsoft.com/office/drawing/2014/chart" uri="{C3380CC4-5D6E-409C-BE32-E72D297353CC}">
              <c16:uniqueId val="{00000005-1A07-4CF6-8209-15F742849869}"/>
            </c:ext>
          </c:extLst>
        </c:ser>
        <c:ser>
          <c:idx val="6"/>
          <c:order val="6"/>
          <c:tx>
            <c:v>Q98 Lo</c:v>
          </c:tx>
          <c:spPr>
            <a:ln w="12700">
              <a:solidFill>
                <a:srgbClr val="FF00FF"/>
              </a:solidFill>
              <a:prstDash val="solid"/>
            </a:ln>
          </c:spPr>
          <c:marker>
            <c:symbol val="none"/>
          </c:marker>
          <c:xVal>
            <c:numRef>
              <c:f>Molybdän!$U$6:$V$6</c:f>
              <c:numCache>
                <c:formatCode>0.000</c:formatCode>
                <c:ptCount val="2"/>
                <c:pt idx="0">
                  <c:v>0</c:v>
                </c:pt>
                <c:pt idx="1">
                  <c:v>0</c:v>
                </c:pt>
              </c:numCache>
            </c:numRef>
          </c:xVal>
          <c:yVal>
            <c:numRef>
              <c:f>Molybdän!$U$2:$V$2</c:f>
              <c:numCache>
                <c:formatCode>General</c:formatCode>
                <c:ptCount val="2"/>
                <c:pt idx="0">
                  <c:v>0</c:v>
                </c:pt>
                <c:pt idx="1">
                  <c:v>1000</c:v>
                </c:pt>
              </c:numCache>
            </c:numRef>
          </c:yVal>
          <c:smooth val="0"/>
          <c:extLst>
            <c:ext xmlns:c16="http://schemas.microsoft.com/office/drawing/2014/chart" uri="{C3380CC4-5D6E-409C-BE32-E72D297353CC}">
              <c16:uniqueId val="{00000006-1A07-4CF6-8209-15F742849869}"/>
            </c:ext>
          </c:extLst>
        </c:ser>
        <c:ser>
          <c:idx val="7"/>
          <c:order val="7"/>
          <c:tx>
            <c:v>Q95u</c:v>
          </c:tx>
          <c:spPr>
            <a:ln w="12700">
              <a:solidFill>
                <a:srgbClr val="0000FF"/>
              </a:solidFill>
              <a:prstDash val="sysDash"/>
            </a:ln>
          </c:spPr>
          <c:marker>
            <c:symbol val="none"/>
          </c:marker>
          <c:xVal>
            <c:numRef>
              <c:f>Molybdän!$U$7:$V$7</c:f>
              <c:numCache>
                <c:formatCode>0.000</c:formatCode>
                <c:ptCount val="2"/>
                <c:pt idx="0">
                  <c:v>0</c:v>
                </c:pt>
                <c:pt idx="1">
                  <c:v>0</c:v>
                </c:pt>
              </c:numCache>
            </c:numRef>
          </c:xVal>
          <c:yVal>
            <c:numRef>
              <c:f>Molybdän!$U$2:$V$2</c:f>
              <c:numCache>
                <c:formatCode>General</c:formatCode>
                <c:ptCount val="2"/>
                <c:pt idx="0">
                  <c:v>0</c:v>
                </c:pt>
                <c:pt idx="1">
                  <c:v>1000</c:v>
                </c:pt>
              </c:numCache>
            </c:numRef>
          </c:yVal>
          <c:smooth val="0"/>
          <c:extLst>
            <c:ext xmlns:c16="http://schemas.microsoft.com/office/drawing/2014/chart" uri="{C3380CC4-5D6E-409C-BE32-E72D297353CC}">
              <c16:uniqueId val="{00000007-1A07-4CF6-8209-15F742849869}"/>
            </c:ext>
          </c:extLst>
        </c:ser>
        <c:ser>
          <c:idx val="8"/>
          <c:order val="8"/>
          <c:tx>
            <c:v>Q95u Lo</c:v>
          </c:tx>
          <c:spPr>
            <a:ln w="12700">
              <a:solidFill>
                <a:srgbClr val="FF00FF"/>
              </a:solidFill>
              <a:prstDash val="sysDash"/>
            </a:ln>
          </c:spPr>
          <c:marker>
            <c:symbol val="none"/>
          </c:marker>
          <c:xVal>
            <c:numRef>
              <c:f>Molybdän!$U$8:$V$8</c:f>
              <c:numCache>
                <c:formatCode>0.000</c:formatCode>
                <c:ptCount val="2"/>
                <c:pt idx="0">
                  <c:v>0</c:v>
                </c:pt>
                <c:pt idx="1">
                  <c:v>0</c:v>
                </c:pt>
              </c:numCache>
            </c:numRef>
          </c:xVal>
          <c:yVal>
            <c:numRef>
              <c:f>Molybdän!$U$2:$V$2</c:f>
              <c:numCache>
                <c:formatCode>General</c:formatCode>
                <c:ptCount val="2"/>
                <c:pt idx="0">
                  <c:v>0</c:v>
                </c:pt>
                <c:pt idx="1">
                  <c:v>1000</c:v>
                </c:pt>
              </c:numCache>
            </c:numRef>
          </c:yVal>
          <c:smooth val="0"/>
          <c:extLst>
            <c:ext xmlns:c16="http://schemas.microsoft.com/office/drawing/2014/chart" uri="{C3380CC4-5D6E-409C-BE32-E72D297353CC}">
              <c16:uniqueId val="{00000008-1A07-4CF6-8209-15F742849869}"/>
            </c:ext>
          </c:extLst>
        </c:ser>
        <c:ser>
          <c:idx val="9"/>
          <c:order val="9"/>
          <c:tx>
            <c:v>Median</c:v>
          </c:tx>
          <c:spPr>
            <a:ln w="12700">
              <a:solidFill>
                <a:srgbClr val="969696"/>
              </a:solidFill>
              <a:prstDash val="lgDashDotDot"/>
            </a:ln>
          </c:spPr>
          <c:marker>
            <c:symbol val="none"/>
          </c:marker>
          <c:xVal>
            <c:numRef>
              <c:f>Molybdän!$U$11:$V$11</c:f>
              <c:numCache>
                <c:formatCode>0.000</c:formatCode>
                <c:ptCount val="2"/>
                <c:pt idx="0">
                  <c:v>0</c:v>
                </c:pt>
                <c:pt idx="1">
                  <c:v>0</c:v>
                </c:pt>
              </c:numCache>
            </c:numRef>
          </c:xVal>
          <c:yVal>
            <c:numRef>
              <c:f>Molybdän!$U$2:$V$2</c:f>
              <c:numCache>
                <c:formatCode>General</c:formatCode>
                <c:ptCount val="2"/>
                <c:pt idx="0">
                  <c:v>0</c:v>
                </c:pt>
                <c:pt idx="1">
                  <c:v>1000</c:v>
                </c:pt>
              </c:numCache>
            </c:numRef>
          </c:yVal>
          <c:smooth val="0"/>
          <c:extLst>
            <c:ext xmlns:c16="http://schemas.microsoft.com/office/drawing/2014/chart" uri="{C3380CC4-5D6E-409C-BE32-E72D297353CC}">
              <c16:uniqueId val="{00000009-1A07-4CF6-8209-15F742849869}"/>
            </c:ext>
          </c:extLst>
        </c:ser>
        <c:dLbls>
          <c:showLegendKey val="0"/>
          <c:showVal val="0"/>
          <c:showCatName val="0"/>
          <c:showSerName val="0"/>
          <c:showPercent val="0"/>
          <c:showBubbleSize val="0"/>
        </c:dLbls>
        <c:axId val="157304704"/>
        <c:axId val="157306240"/>
      </c:scatterChart>
      <c:valAx>
        <c:axId val="157304704"/>
        <c:scaling>
          <c:orientation val="minMax"/>
          <c:max val="5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7306240"/>
        <c:crosses val="autoZero"/>
        <c:crossBetween val="midCat"/>
        <c:majorUnit val="10"/>
        <c:minorUnit val="5"/>
      </c:valAx>
      <c:valAx>
        <c:axId val="157306240"/>
        <c:scaling>
          <c:orientation val="minMax"/>
          <c:max val="0.4"/>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7304704"/>
        <c:crosses val="autoZero"/>
        <c:crossBetween val="midCat"/>
        <c:majorUnit val="0.1"/>
        <c:minorUnit val="5.000000000000001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Molybdän!$M$3:$M$252</c:f>
              <c:numCache>
                <c:formatCode>d/m/yyyy;@</c:formatCode>
                <c:ptCount val="250"/>
              </c:numCache>
            </c:numRef>
          </c:xVal>
          <c:yVal>
            <c:numRef>
              <c:f>Molybdän!$N$3:$N$252</c:f>
              <c:numCache>
                <c:formatCode>General</c:formatCode>
                <c:ptCount val="250"/>
              </c:numCache>
            </c:numRef>
          </c:yVal>
          <c:smooth val="0"/>
          <c:extLst>
            <c:ext xmlns:c16="http://schemas.microsoft.com/office/drawing/2014/chart" uri="{C3380CC4-5D6E-409C-BE32-E72D297353CC}">
              <c16:uniqueId val="{00000000-7404-4BF7-A423-1C8B1A8EFE33}"/>
            </c:ext>
          </c:extLst>
        </c:ser>
        <c:ser>
          <c:idx val="1"/>
          <c:order val="1"/>
          <c:tx>
            <c:v>Q95</c:v>
          </c:tx>
          <c:spPr>
            <a:ln w="12700">
              <a:solidFill>
                <a:srgbClr val="0000FF"/>
              </a:solidFill>
              <a:prstDash val="sysDash"/>
            </a:ln>
          </c:spPr>
          <c:marker>
            <c:symbol val="none"/>
          </c:marker>
          <c:xVal>
            <c:numRef>
              <c:f>Molybdän!$E$57:$E$58</c:f>
              <c:numCache>
                <c:formatCode>m/d/yyyy</c:formatCode>
                <c:ptCount val="2"/>
                <c:pt idx="0">
                  <c:v>36161</c:v>
                </c:pt>
                <c:pt idx="1">
                  <c:v>73415</c:v>
                </c:pt>
              </c:numCache>
            </c:numRef>
          </c:xVal>
          <c:yVal>
            <c:numRef>
              <c:f>Molybdän!$F$57:$F$58</c:f>
              <c:numCache>
                <c:formatCode>0.000</c:formatCode>
                <c:ptCount val="2"/>
                <c:pt idx="0">
                  <c:v>0</c:v>
                </c:pt>
                <c:pt idx="1">
                  <c:v>0</c:v>
                </c:pt>
              </c:numCache>
            </c:numRef>
          </c:yVal>
          <c:smooth val="0"/>
          <c:extLst>
            <c:ext xmlns:c16="http://schemas.microsoft.com/office/drawing/2014/chart" uri="{C3380CC4-5D6E-409C-BE32-E72D297353CC}">
              <c16:uniqueId val="{00000001-7404-4BF7-A423-1C8B1A8EFE33}"/>
            </c:ext>
          </c:extLst>
        </c:ser>
        <c:ser>
          <c:idx val="4"/>
          <c:order val="2"/>
          <c:tx>
            <c:v>Q95Log</c:v>
          </c:tx>
          <c:spPr>
            <a:ln w="12700">
              <a:solidFill>
                <a:srgbClr val="FF00FF"/>
              </a:solidFill>
              <a:prstDash val="sysDash"/>
            </a:ln>
          </c:spPr>
          <c:marker>
            <c:symbol val="none"/>
          </c:marker>
          <c:xVal>
            <c:numRef>
              <c:f>Molybdän!$E$57:$E$58</c:f>
              <c:numCache>
                <c:formatCode>m/d/yyyy</c:formatCode>
                <c:ptCount val="2"/>
                <c:pt idx="0">
                  <c:v>36161</c:v>
                </c:pt>
                <c:pt idx="1">
                  <c:v>73415</c:v>
                </c:pt>
              </c:numCache>
            </c:numRef>
          </c:xVal>
          <c:yVal>
            <c:numRef>
              <c:f>Molybdän!$J$57:$J$58</c:f>
              <c:numCache>
                <c:formatCode>0.000</c:formatCode>
                <c:ptCount val="2"/>
                <c:pt idx="0">
                  <c:v>0</c:v>
                </c:pt>
                <c:pt idx="1">
                  <c:v>0</c:v>
                </c:pt>
              </c:numCache>
            </c:numRef>
          </c:yVal>
          <c:smooth val="0"/>
          <c:extLst>
            <c:ext xmlns:c16="http://schemas.microsoft.com/office/drawing/2014/chart" uri="{C3380CC4-5D6E-409C-BE32-E72D297353CC}">
              <c16:uniqueId val="{00000002-7404-4BF7-A423-1C8B1A8EFE33}"/>
            </c:ext>
          </c:extLst>
        </c:ser>
        <c:ser>
          <c:idx val="9"/>
          <c:order val="3"/>
          <c:tx>
            <c:v>vT</c:v>
          </c:tx>
          <c:spPr>
            <a:ln w="12700">
              <a:solidFill>
                <a:srgbClr val="808080"/>
              </a:solidFill>
              <a:prstDash val="sysDash"/>
            </a:ln>
          </c:spPr>
          <c:marker>
            <c:symbol val="none"/>
          </c:marker>
          <c:xVal>
            <c:numRef>
              <c:f>Molybdän!$G$122:$G$123</c:f>
              <c:numCache>
                <c:formatCode>d/m/yyyy;@</c:formatCode>
                <c:ptCount val="2"/>
                <c:pt idx="0">
                  <c:v>0</c:v>
                </c:pt>
                <c:pt idx="1">
                  <c:v>0</c:v>
                </c:pt>
              </c:numCache>
            </c:numRef>
          </c:xVal>
          <c:yVal>
            <c:numRef>
              <c:f>Molybdän!$I$122:$I$123</c:f>
              <c:numCache>
                <c:formatCode>General</c:formatCode>
                <c:ptCount val="2"/>
                <c:pt idx="0">
                  <c:v>0</c:v>
                </c:pt>
                <c:pt idx="1">
                  <c:v>0</c:v>
                </c:pt>
              </c:numCache>
            </c:numRef>
          </c:yVal>
          <c:smooth val="0"/>
          <c:extLst>
            <c:ext xmlns:c16="http://schemas.microsoft.com/office/drawing/2014/chart" uri="{C3380CC4-5D6E-409C-BE32-E72D297353CC}">
              <c16:uniqueId val="{00000003-7404-4BF7-A423-1C8B1A8EFE33}"/>
            </c:ext>
          </c:extLst>
        </c:ser>
        <c:ser>
          <c:idx val="10"/>
          <c:order val="4"/>
          <c:tx>
            <c:v>Trend</c:v>
          </c:tx>
          <c:spPr>
            <a:ln w="12700">
              <a:solidFill>
                <a:srgbClr val="808080"/>
              </a:solidFill>
              <a:prstDash val="solid"/>
            </a:ln>
          </c:spPr>
          <c:marker>
            <c:symbol val="none"/>
          </c:marker>
          <c:xVal>
            <c:numRef>
              <c:f>Molybdän!$G$122:$G$123</c:f>
              <c:numCache>
                <c:formatCode>d/m/yyyy;@</c:formatCode>
                <c:ptCount val="2"/>
                <c:pt idx="0">
                  <c:v>0</c:v>
                </c:pt>
                <c:pt idx="1">
                  <c:v>0</c:v>
                </c:pt>
              </c:numCache>
            </c:numRef>
          </c:xVal>
          <c:yVal>
            <c:numRef>
              <c:f>Molybdän!$J$122:$J$123</c:f>
              <c:numCache>
                <c:formatCode>General</c:formatCode>
                <c:ptCount val="2"/>
                <c:pt idx="0">
                  <c:v>0</c:v>
                </c:pt>
                <c:pt idx="1">
                  <c:v>0</c:v>
                </c:pt>
              </c:numCache>
            </c:numRef>
          </c:yVal>
          <c:smooth val="0"/>
          <c:extLst>
            <c:ext xmlns:c16="http://schemas.microsoft.com/office/drawing/2014/chart" uri="{C3380CC4-5D6E-409C-BE32-E72D297353CC}">
              <c16:uniqueId val="{00000004-7404-4BF7-A423-1C8B1A8EFE33}"/>
            </c:ext>
          </c:extLst>
        </c:ser>
        <c:ser>
          <c:idx val="2"/>
          <c:order val="5"/>
          <c:tx>
            <c:v>Q95u</c:v>
          </c:tx>
          <c:spPr>
            <a:ln w="12700">
              <a:solidFill>
                <a:srgbClr val="0000FF"/>
              </a:solidFill>
              <a:prstDash val="sysDash"/>
            </a:ln>
          </c:spPr>
          <c:marker>
            <c:symbol val="none"/>
          </c:marker>
          <c:xVal>
            <c:numRef>
              <c:f>Molybdän!$E$57:$E$58</c:f>
              <c:numCache>
                <c:formatCode>m/d/yyyy</c:formatCode>
                <c:ptCount val="2"/>
                <c:pt idx="0">
                  <c:v>36161</c:v>
                </c:pt>
                <c:pt idx="1">
                  <c:v>73415</c:v>
                </c:pt>
              </c:numCache>
            </c:numRef>
          </c:xVal>
          <c:yVal>
            <c:numRef>
              <c:f>Molybdän!$G$57:$G$58</c:f>
              <c:numCache>
                <c:formatCode>0.000</c:formatCode>
                <c:ptCount val="2"/>
                <c:pt idx="0">
                  <c:v>0</c:v>
                </c:pt>
                <c:pt idx="1">
                  <c:v>0</c:v>
                </c:pt>
              </c:numCache>
            </c:numRef>
          </c:yVal>
          <c:smooth val="0"/>
          <c:extLst>
            <c:ext xmlns:c16="http://schemas.microsoft.com/office/drawing/2014/chart" uri="{C3380CC4-5D6E-409C-BE32-E72D297353CC}">
              <c16:uniqueId val="{00000005-7404-4BF7-A423-1C8B1A8EFE33}"/>
            </c:ext>
          </c:extLst>
        </c:ser>
        <c:ser>
          <c:idx val="3"/>
          <c:order val="6"/>
          <c:tx>
            <c:v>Q98</c:v>
          </c:tx>
          <c:spPr>
            <a:ln w="12700">
              <a:solidFill>
                <a:srgbClr val="0000FF"/>
              </a:solidFill>
              <a:prstDash val="solid"/>
            </a:ln>
          </c:spPr>
          <c:marker>
            <c:symbol val="none"/>
          </c:marker>
          <c:xVal>
            <c:numRef>
              <c:f>Molybdän!$E$57:$E$58</c:f>
              <c:numCache>
                <c:formatCode>m/d/yyyy</c:formatCode>
                <c:ptCount val="2"/>
                <c:pt idx="0">
                  <c:v>36161</c:v>
                </c:pt>
                <c:pt idx="1">
                  <c:v>73415</c:v>
                </c:pt>
              </c:numCache>
            </c:numRef>
          </c:xVal>
          <c:yVal>
            <c:numRef>
              <c:f>Molybdän!$H$57:$H$58</c:f>
              <c:numCache>
                <c:formatCode>0.000</c:formatCode>
                <c:ptCount val="2"/>
                <c:pt idx="0">
                  <c:v>0</c:v>
                </c:pt>
                <c:pt idx="1">
                  <c:v>0</c:v>
                </c:pt>
              </c:numCache>
            </c:numRef>
          </c:yVal>
          <c:smooth val="0"/>
          <c:extLst>
            <c:ext xmlns:c16="http://schemas.microsoft.com/office/drawing/2014/chart" uri="{C3380CC4-5D6E-409C-BE32-E72D297353CC}">
              <c16:uniqueId val="{00000006-7404-4BF7-A423-1C8B1A8EFE33}"/>
            </c:ext>
          </c:extLst>
        </c:ser>
        <c:ser>
          <c:idx val="6"/>
          <c:order val="7"/>
          <c:tx>
            <c:v>Q98Log</c:v>
          </c:tx>
          <c:spPr>
            <a:ln w="12700">
              <a:solidFill>
                <a:srgbClr val="CC00FF"/>
              </a:solidFill>
            </a:ln>
          </c:spPr>
          <c:marker>
            <c:symbol val="none"/>
          </c:marker>
          <c:xVal>
            <c:numRef>
              <c:f>Molybdän!$E$57:$E$58</c:f>
              <c:numCache>
                <c:formatCode>m/d/yyyy</c:formatCode>
                <c:ptCount val="2"/>
                <c:pt idx="0">
                  <c:v>36161</c:v>
                </c:pt>
                <c:pt idx="1">
                  <c:v>73415</c:v>
                </c:pt>
              </c:numCache>
            </c:numRef>
          </c:xVal>
          <c:yVal>
            <c:numRef>
              <c:f>Molybdän!$K$57:$K$58</c:f>
              <c:numCache>
                <c:formatCode>0.000</c:formatCode>
                <c:ptCount val="2"/>
                <c:pt idx="0">
                  <c:v>0</c:v>
                </c:pt>
                <c:pt idx="1">
                  <c:v>0</c:v>
                </c:pt>
              </c:numCache>
            </c:numRef>
          </c:yVal>
          <c:smooth val="0"/>
          <c:extLst>
            <c:ext xmlns:c16="http://schemas.microsoft.com/office/drawing/2014/chart" uri="{C3380CC4-5D6E-409C-BE32-E72D297353CC}">
              <c16:uniqueId val="{00000007-7404-4BF7-A423-1C8B1A8EFE33}"/>
            </c:ext>
          </c:extLst>
        </c:ser>
        <c:dLbls>
          <c:showLegendKey val="0"/>
          <c:showVal val="0"/>
          <c:showCatName val="0"/>
          <c:showSerName val="0"/>
          <c:showPercent val="0"/>
          <c:showBubbleSize val="0"/>
        </c:dLbls>
        <c:axId val="158216576"/>
        <c:axId val="158218112"/>
      </c:scatterChart>
      <c:valAx>
        <c:axId val="158216576"/>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8218112"/>
        <c:crossesAt val="0"/>
        <c:crossBetween val="midCat"/>
        <c:majorUnit val="1461"/>
        <c:minorUnit val="365.25"/>
      </c:valAx>
      <c:valAx>
        <c:axId val="158218112"/>
        <c:scaling>
          <c:orientation val="minMax"/>
          <c:max val="5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8216576"/>
        <c:crossesAt val="0"/>
        <c:crossBetween val="midCat"/>
        <c:majorUnit val="10"/>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Nickel!$F$63:$F$113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Nickel!$G$63:$G$113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05F9-4A6C-9775-9344A44491A6}"/>
            </c:ext>
          </c:extLst>
        </c:ser>
        <c:ser>
          <c:idx val="1"/>
          <c:order val="1"/>
          <c:tx>
            <c:v>LogNormalverteilung</c:v>
          </c:tx>
          <c:spPr>
            <a:ln w="25400">
              <a:solidFill>
                <a:srgbClr val="FF00FF"/>
              </a:solidFill>
              <a:prstDash val="solid"/>
            </a:ln>
          </c:spPr>
          <c:marker>
            <c:symbol val="none"/>
          </c:marker>
          <c:xVal>
            <c:numRef>
              <c:f>Nickel!$I$63:$I$113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Nickel!$J$63:$J$113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05F9-4A6C-9775-9344A44491A6}"/>
            </c:ext>
          </c:extLst>
        </c:ser>
        <c:ser>
          <c:idx val="2"/>
          <c:order val="2"/>
          <c:tx>
            <c:v>Histogramm</c:v>
          </c:tx>
          <c:spPr>
            <a:ln w="25400">
              <a:solidFill>
                <a:srgbClr val="969696"/>
              </a:solidFill>
              <a:prstDash val="lgDashDot"/>
            </a:ln>
          </c:spPr>
          <c:marker>
            <c:symbol val="none"/>
          </c:marker>
          <c:xVal>
            <c:numRef>
              <c:f>Nickel!$T$46:$T$97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Nickel!$U$46:$U$97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05F9-4A6C-9775-9344A44491A6}"/>
            </c:ext>
          </c:extLst>
        </c:ser>
        <c:ser>
          <c:idx val="3"/>
          <c:order val="3"/>
          <c:tx>
            <c:v>Q95 No</c:v>
          </c:tx>
          <c:spPr>
            <a:ln w="12700">
              <a:solidFill>
                <a:srgbClr val="0000FF"/>
              </a:solidFill>
              <a:prstDash val="sysDash"/>
            </a:ln>
          </c:spPr>
          <c:marker>
            <c:symbol val="none"/>
          </c:marker>
          <c:xVal>
            <c:numRef>
              <c:f>Nickel!$U$3:$V$3</c:f>
              <c:numCache>
                <c:formatCode>0.000</c:formatCode>
                <c:ptCount val="2"/>
                <c:pt idx="0">
                  <c:v>0</c:v>
                </c:pt>
                <c:pt idx="1">
                  <c:v>0</c:v>
                </c:pt>
              </c:numCache>
            </c:numRef>
          </c:xVal>
          <c:yVal>
            <c:numRef>
              <c:f>Nickel!$U$2:$V$2</c:f>
              <c:numCache>
                <c:formatCode>General</c:formatCode>
                <c:ptCount val="2"/>
                <c:pt idx="0">
                  <c:v>0</c:v>
                </c:pt>
                <c:pt idx="1">
                  <c:v>1000</c:v>
                </c:pt>
              </c:numCache>
            </c:numRef>
          </c:yVal>
          <c:smooth val="0"/>
          <c:extLst>
            <c:ext xmlns:c16="http://schemas.microsoft.com/office/drawing/2014/chart" uri="{C3380CC4-5D6E-409C-BE32-E72D297353CC}">
              <c16:uniqueId val="{00000003-05F9-4A6C-9775-9344A44491A6}"/>
            </c:ext>
          </c:extLst>
        </c:ser>
        <c:ser>
          <c:idx val="4"/>
          <c:order val="4"/>
          <c:tx>
            <c:v>Q95 Lo</c:v>
          </c:tx>
          <c:spPr>
            <a:ln w="12700">
              <a:solidFill>
                <a:srgbClr val="FF00FF"/>
              </a:solidFill>
              <a:prstDash val="sysDash"/>
            </a:ln>
          </c:spPr>
          <c:marker>
            <c:symbol val="none"/>
          </c:marker>
          <c:xVal>
            <c:numRef>
              <c:f>Nickel!$U$4:$V$4</c:f>
              <c:numCache>
                <c:formatCode>0.000</c:formatCode>
                <c:ptCount val="2"/>
                <c:pt idx="0">
                  <c:v>0</c:v>
                </c:pt>
                <c:pt idx="1">
                  <c:v>0</c:v>
                </c:pt>
              </c:numCache>
            </c:numRef>
          </c:xVal>
          <c:yVal>
            <c:numRef>
              <c:f>Nickel!$U$2:$V$2</c:f>
              <c:numCache>
                <c:formatCode>General</c:formatCode>
                <c:ptCount val="2"/>
                <c:pt idx="0">
                  <c:v>0</c:v>
                </c:pt>
                <c:pt idx="1">
                  <c:v>1000</c:v>
                </c:pt>
              </c:numCache>
            </c:numRef>
          </c:yVal>
          <c:smooth val="0"/>
          <c:extLst>
            <c:ext xmlns:c16="http://schemas.microsoft.com/office/drawing/2014/chart" uri="{C3380CC4-5D6E-409C-BE32-E72D297353CC}">
              <c16:uniqueId val="{00000004-05F9-4A6C-9775-9344A44491A6}"/>
            </c:ext>
          </c:extLst>
        </c:ser>
        <c:ser>
          <c:idx val="5"/>
          <c:order val="5"/>
          <c:tx>
            <c:v>Q98 No</c:v>
          </c:tx>
          <c:spPr>
            <a:ln w="12700">
              <a:solidFill>
                <a:srgbClr val="0000FF"/>
              </a:solidFill>
              <a:prstDash val="solid"/>
            </a:ln>
          </c:spPr>
          <c:marker>
            <c:symbol val="none"/>
          </c:marker>
          <c:xVal>
            <c:numRef>
              <c:f>Nickel!$U$5:$V$5</c:f>
              <c:numCache>
                <c:formatCode>0.000</c:formatCode>
                <c:ptCount val="2"/>
                <c:pt idx="0">
                  <c:v>0</c:v>
                </c:pt>
                <c:pt idx="1">
                  <c:v>0</c:v>
                </c:pt>
              </c:numCache>
            </c:numRef>
          </c:xVal>
          <c:yVal>
            <c:numRef>
              <c:f>Nickel!$U$2:$V$2</c:f>
              <c:numCache>
                <c:formatCode>General</c:formatCode>
                <c:ptCount val="2"/>
                <c:pt idx="0">
                  <c:v>0</c:v>
                </c:pt>
                <c:pt idx="1">
                  <c:v>1000</c:v>
                </c:pt>
              </c:numCache>
            </c:numRef>
          </c:yVal>
          <c:smooth val="0"/>
          <c:extLst>
            <c:ext xmlns:c16="http://schemas.microsoft.com/office/drawing/2014/chart" uri="{C3380CC4-5D6E-409C-BE32-E72D297353CC}">
              <c16:uniqueId val="{00000005-05F9-4A6C-9775-9344A44491A6}"/>
            </c:ext>
          </c:extLst>
        </c:ser>
        <c:ser>
          <c:idx val="6"/>
          <c:order val="6"/>
          <c:tx>
            <c:v>Q98 Lo</c:v>
          </c:tx>
          <c:spPr>
            <a:ln w="12700">
              <a:solidFill>
                <a:srgbClr val="FF00FF"/>
              </a:solidFill>
              <a:prstDash val="solid"/>
            </a:ln>
          </c:spPr>
          <c:marker>
            <c:symbol val="none"/>
          </c:marker>
          <c:xVal>
            <c:numRef>
              <c:f>Nickel!$U$6:$V$6</c:f>
              <c:numCache>
                <c:formatCode>0.000</c:formatCode>
                <c:ptCount val="2"/>
                <c:pt idx="0">
                  <c:v>0</c:v>
                </c:pt>
                <c:pt idx="1">
                  <c:v>0</c:v>
                </c:pt>
              </c:numCache>
            </c:numRef>
          </c:xVal>
          <c:yVal>
            <c:numRef>
              <c:f>Nickel!$U$2:$V$2</c:f>
              <c:numCache>
                <c:formatCode>General</c:formatCode>
                <c:ptCount val="2"/>
                <c:pt idx="0">
                  <c:v>0</c:v>
                </c:pt>
                <c:pt idx="1">
                  <c:v>1000</c:v>
                </c:pt>
              </c:numCache>
            </c:numRef>
          </c:yVal>
          <c:smooth val="0"/>
          <c:extLst>
            <c:ext xmlns:c16="http://schemas.microsoft.com/office/drawing/2014/chart" uri="{C3380CC4-5D6E-409C-BE32-E72D297353CC}">
              <c16:uniqueId val="{00000006-05F9-4A6C-9775-9344A44491A6}"/>
            </c:ext>
          </c:extLst>
        </c:ser>
        <c:ser>
          <c:idx val="7"/>
          <c:order val="7"/>
          <c:tx>
            <c:v>Q95u</c:v>
          </c:tx>
          <c:spPr>
            <a:ln w="12700">
              <a:solidFill>
                <a:srgbClr val="0000FF"/>
              </a:solidFill>
              <a:prstDash val="sysDash"/>
            </a:ln>
          </c:spPr>
          <c:marker>
            <c:symbol val="none"/>
          </c:marker>
          <c:xVal>
            <c:numRef>
              <c:f>Nickel!$U$7:$V$7</c:f>
              <c:numCache>
                <c:formatCode>0.000</c:formatCode>
                <c:ptCount val="2"/>
                <c:pt idx="0">
                  <c:v>0</c:v>
                </c:pt>
                <c:pt idx="1">
                  <c:v>0</c:v>
                </c:pt>
              </c:numCache>
            </c:numRef>
          </c:xVal>
          <c:yVal>
            <c:numRef>
              <c:f>Nickel!$U$2:$V$2</c:f>
              <c:numCache>
                <c:formatCode>General</c:formatCode>
                <c:ptCount val="2"/>
                <c:pt idx="0">
                  <c:v>0</c:v>
                </c:pt>
                <c:pt idx="1">
                  <c:v>1000</c:v>
                </c:pt>
              </c:numCache>
            </c:numRef>
          </c:yVal>
          <c:smooth val="0"/>
          <c:extLst>
            <c:ext xmlns:c16="http://schemas.microsoft.com/office/drawing/2014/chart" uri="{C3380CC4-5D6E-409C-BE32-E72D297353CC}">
              <c16:uniqueId val="{00000007-05F9-4A6C-9775-9344A44491A6}"/>
            </c:ext>
          </c:extLst>
        </c:ser>
        <c:ser>
          <c:idx val="8"/>
          <c:order val="8"/>
          <c:tx>
            <c:v>Q95u Lo</c:v>
          </c:tx>
          <c:spPr>
            <a:ln w="12700">
              <a:solidFill>
                <a:srgbClr val="FF00FF"/>
              </a:solidFill>
              <a:prstDash val="sysDash"/>
            </a:ln>
          </c:spPr>
          <c:marker>
            <c:symbol val="none"/>
          </c:marker>
          <c:xVal>
            <c:numRef>
              <c:f>Nickel!$U$8:$V$8</c:f>
              <c:numCache>
                <c:formatCode>0.000</c:formatCode>
                <c:ptCount val="2"/>
                <c:pt idx="0">
                  <c:v>0</c:v>
                </c:pt>
                <c:pt idx="1">
                  <c:v>0</c:v>
                </c:pt>
              </c:numCache>
            </c:numRef>
          </c:xVal>
          <c:yVal>
            <c:numRef>
              <c:f>Nickel!$U$2:$V$2</c:f>
              <c:numCache>
                <c:formatCode>General</c:formatCode>
                <c:ptCount val="2"/>
                <c:pt idx="0">
                  <c:v>0</c:v>
                </c:pt>
                <c:pt idx="1">
                  <c:v>1000</c:v>
                </c:pt>
              </c:numCache>
            </c:numRef>
          </c:yVal>
          <c:smooth val="0"/>
          <c:extLst>
            <c:ext xmlns:c16="http://schemas.microsoft.com/office/drawing/2014/chart" uri="{C3380CC4-5D6E-409C-BE32-E72D297353CC}">
              <c16:uniqueId val="{00000008-05F9-4A6C-9775-9344A44491A6}"/>
            </c:ext>
          </c:extLst>
        </c:ser>
        <c:ser>
          <c:idx val="9"/>
          <c:order val="9"/>
          <c:tx>
            <c:v>Median</c:v>
          </c:tx>
          <c:spPr>
            <a:ln w="12700">
              <a:solidFill>
                <a:srgbClr val="969696"/>
              </a:solidFill>
              <a:prstDash val="lgDashDotDot"/>
            </a:ln>
          </c:spPr>
          <c:marker>
            <c:symbol val="none"/>
          </c:marker>
          <c:xVal>
            <c:numRef>
              <c:f>Nickel!$U$11:$V$11</c:f>
              <c:numCache>
                <c:formatCode>0.000</c:formatCode>
                <c:ptCount val="2"/>
                <c:pt idx="0">
                  <c:v>0</c:v>
                </c:pt>
                <c:pt idx="1">
                  <c:v>0</c:v>
                </c:pt>
              </c:numCache>
            </c:numRef>
          </c:xVal>
          <c:yVal>
            <c:numRef>
              <c:f>Nickel!$U$2:$V$2</c:f>
              <c:numCache>
                <c:formatCode>General</c:formatCode>
                <c:ptCount val="2"/>
                <c:pt idx="0">
                  <c:v>0</c:v>
                </c:pt>
                <c:pt idx="1">
                  <c:v>1000</c:v>
                </c:pt>
              </c:numCache>
            </c:numRef>
          </c:yVal>
          <c:smooth val="0"/>
          <c:extLst>
            <c:ext xmlns:c16="http://schemas.microsoft.com/office/drawing/2014/chart" uri="{C3380CC4-5D6E-409C-BE32-E72D297353CC}">
              <c16:uniqueId val="{00000009-05F9-4A6C-9775-9344A44491A6}"/>
            </c:ext>
          </c:extLst>
        </c:ser>
        <c:dLbls>
          <c:showLegendKey val="0"/>
          <c:showVal val="0"/>
          <c:showCatName val="0"/>
          <c:showSerName val="0"/>
          <c:showPercent val="0"/>
          <c:showBubbleSize val="0"/>
        </c:dLbls>
        <c:axId val="158075904"/>
        <c:axId val="158089984"/>
      </c:scatterChart>
      <c:valAx>
        <c:axId val="158075904"/>
        <c:scaling>
          <c:orientation val="minMax"/>
          <c:max val="1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8089984"/>
        <c:crosses val="autoZero"/>
        <c:crossBetween val="midCat"/>
        <c:majorUnit val="20"/>
        <c:minorUnit val="10"/>
      </c:valAx>
      <c:valAx>
        <c:axId val="158089984"/>
        <c:scaling>
          <c:orientation val="minMax"/>
          <c:max val="0.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8075904"/>
        <c:crosses val="autoZero"/>
        <c:crossBetween val="midCat"/>
        <c:majorUnit val="0.1"/>
        <c:minorUnit val="5.000000000000001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Nickel!$M$3:$M$252</c:f>
              <c:numCache>
                <c:formatCode>d/m/yyyy;@</c:formatCode>
                <c:ptCount val="250"/>
              </c:numCache>
            </c:numRef>
          </c:xVal>
          <c:yVal>
            <c:numRef>
              <c:f>Nickel!$N$3:$N$252</c:f>
              <c:numCache>
                <c:formatCode>General</c:formatCode>
                <c:ptCount val="250"/>
              </c:numCache>
            </c:numRef>
          </c:yVal>
          <c:smooth val="0"/>
          <c:extLst>
            <c:ext xmlns:c16="http://schemas.microsoft.com/office/drawing/2014/chart" uri="{C3380CC4-5D6E-409C-BE32-E72D297353CC}">
              <c16:uniqueId val="{00000000-E37C-4E9E-871A-DD97C8325BA2}"/>
            </c:ext>
          </c:extLst>
        </c:ser>
        <c:ser>
          <c:idx val="1"/>
          <c:order val="1"/>
          <c:tx>
            <c:v>Q95</c:v>
          </c:tx>
          <c:spPr>
            <a:ln w="12700">
              <a:solidFill>
                <a:srgbClr val="0000FF"/>
              </a:solidFill>
              <a:prstDash val="sysDash"/>
            </a:ln>
          </c:spPr>
          <c:marker>
            <c:symbol val="none"/>
          </c:marker>
          <c:xVal>
            <c:numRef>
              <c:f>Nickel!$E$57:$E$58</c:f>
              <c:numCache>
                <c:formatCode>m/d/yyyy</c:formatCode>
                <c:ptCount val="2"/>
                <c:pt idx="0">
                  <c:v>1</c:v>
                </c:pt>
                <c:pt idx="1">
                  <c:v>73415</c:v>
                </c:pt>
              </c:numCache>
            </c:numRef>
          </c:xVal>
          <c:yVal>
            <c:numRef>
              <c:f>Nickel!$F$57:$F$58</c:f>
              <c:numCache>
                <c:formatCode>0.000</c:formatCode>
                <c:ptCount val="2"/>
                <c:pt idx="0">
                  <c:v>0</c:v>
                </c:pt>
                <c:pt idx="1">
                  <c:v>0</c:v>
                </c:pt>
              </c:numCache>
            </c:numRef>
          </c:yVal>
          <c:smooth val="0"/>
          <c:extLst>
            <c:ext xmlns:c16="http://schemas.microsoft.com/office/drawing/2014/chart" uri="{C3380CC4-5D6E-409C-BE32-E72D297353CC}">
              <c16:uniqueId val="{00000001-E37C-4E9E-871A-DD97C8325BA2}"/>
            </c:ext>
          </c:extLst>
        </c:ser>
        <c:ser>
          <c:idx val="4"/>
          <c:order val="2"/>
          <c:tx>
            <c:v>Q95Log</c:v>
          </c:tx>
          <c:spPr>
            <a:ln w="12700">
              <a:solidFill>
                <a:srgbClr val="FF00FF"/>
              </a:solidFill>
              <a:prstDash val="sysDash"/>
            </a:ln>
          </c:spPr>
          <c:marker>
            <c:symbol val="none"/>
          </c:marker>
          <c:xVal>
            <c:numRef>
              <c:f>Nickel!$E$57:$E$58</c:f>
              <c:numCache>
                <c:formatCode>m/d/yyyy</c:formatCode>
                <c:ptCount val="2"/>
                <c:pt idx="0">
                  <c:v>1</c:v>
                </c:pt>
                <c:pt idx="1">
                  <c:v>73415</c:v>
                </c:pt>
              </c:numCache>
            </c:numRef>
          </c:xVal>
          <c:yVal>
            <c:numRef>
              <c:f>Nickel!$J$57:$J$58</c:f>
              <c:numCache>
                <c:formatCode>0.000</c:formatCode>
                <c:ptCount val="2"/>
                <c:pt idx="0">
                  <c:v>0</c:v>
                </c:pt>
                <c:pt idx="1">
                  <c:v>0</c:v>
                </c:pt>
              </c:numCache>
            </c:numRef>
          </c:yVal>
          <c:smooth val="0"/>
          <c:extLst>
            <c:ext xmlns:c16="http://schemas.microsoft.com/office/drawing/2014/chart" uri="{C3380CC4-5D6E-409C-BE32-E72D297353CC}">
              <c16:uniqueId val="{00000002-E37C-4E9E-871A-DD97C8325BA2}"/>
            </c:ext>
          </c:extLst>
        </c:ser>
        <c:ser>
          <c:idx val="9"/>
          <c:order val="3"/>
          <c:tx>
            <c:v>vT</c:v>
          </c:tx>
          <c:spPr>
            <a:ln w="12700">
              <a:solidFill>
                <a:srgbClr val="808080"/>
              </a:solidFill>
              <a:prstDash val="sysDash"/>
            </a:ln>
          </c:spPr>
          <c:marker>
            <c:symbol val="none"/>
          </c:marker>
          <c:xVal>
            <c:numRef>
              <c:f>Nickel!$G$122:$G$123</c:f>
              <c:numCache>
                <c:formatCode>d/m/yyyy;@</c:formatCode>
                <c:ptCount val="2"/>
                <c:pt idx="0">
                  <c:v>0</c:v>
                </c:pt>
                <c:pt idx="1">
                  <c:v>0</c:v>
                </c:pt>
              </c:numCache>
            </c:numRef>
          </c:xVal>
          <c:yVal>
            <c:numRef>
              <c:f>Nickel!$I$122:$I$123</c:f>
              <c:numCache>
                <c:formatCode>General</c:formatCode>
                <c:ptCount val="2"/>
                <c:pt idx="0">
                  <c:v>0</c:v>
                </c:pt>
                <c:pt idx="1">
                  <c:v>0</c:v>
                </c:pt>
              </c:numCache>
            </c:numRef>
          </c:yVal>
          <c:smooth val="0"/>
          <c:extLst>
            <c:ext xmlns:c16="http://schemas.microsoft.com/office/drawing/2014/chart" uri="{C3380CC4-5D6E-409C-BE32-E72D297353CC}">
              <c16:uniqueId val="{00000003-E37C-4E9E-871A-DD97C8325BA2}"/>
            </c:ext>
          </c:extLst>
        </c:ser>
        <c:ser>
          <c:idx val="10"/>
          <c:order val="4"/>
          <c:tx>
            <c:v>Trend</c:v>
          </c:tx>
          <c:spPr>
            <a:ln w="12700">
              <a:solidFill>
                <a:srgbClr val="808080"/>
              </a:solidFill>
              <a:prstDash val="solid"/>
            </a:ln>
          </c:spPr>
          <c:marker>
            <c:symbol val="none"/>
          </c:marker>
          <c:xVal>
            <c:numRef>
              <c:f>Nickel!$G$122:$G$123</c:f>
              <c:numCache>
                <c:formatCode>d/m/yyyy;@</c:formatCode>
                <c:ptCount val="2"/>
                <c:pt idx="0">
                  <c:v>0</c:v>
                </c:pt>
                <c:pt idx="1">
                  <c:v>0</c:v>
                </c:pt>
              </c:numCache>
            </c:numRef>
          </c:xVal>
          <c:yVal>
            <c:numRef>
              <c:f>Nickel!$J$122:$J$123</c:f>
              <c:numCache>
                <c:formatCode>General</c:formatCode>
                <c:ptCount val="2"/>
                <c:pt idx="0">
                  <c:v>0</c:v>
                </c:pt>
                <c:pt idx="1">
                  <c:v>0</c:v>
                </c:pt>
              </c:numCache>
            </c:numRef>
          </c:yVal>
          <c:smooth val="0"/>
          <c:extLst>
            <c:ext xmlns:c16="http://schemas.microsoft.com/office/drawing/2014/chart" uri="{C3380CC4-5D6E-409C-BE32-E72D297353CC}">
              <c16:uniqueId val="{00000004-E37C-4E9E-871A-DD97C8325BA2}"/>
            </c:ext>
          </c:extLst>
        </c:ser>
        <c:ser>
          <c:idx val="2"/>
          <c:order val="5"/>
          <c:tx>
            <c:v>Q95u</c:v>
          </c:tx>
          <c:spPr>
            <a:ln w="12700">
              <a:solidFill>
                <a:srgbClr val="0000FF"/>
              </a:solidFill>
              <a:prstDash val="sysDash"/>
            </a:ln>
          </c:spPr>
          <c:marker>
            <c:symbol val="none"/>
          </c:marker>
          <c:xVal>
            <c:numRef>
              <c:f>Nickel!$E$57:$E$58</c:f>
              <c:numCache>
                <c:formatCode>m/d/yyyy</c:formatCode>
                <c:ptCount val="2"/>
                <c:pt idx="0">
                  <c:v>1</c:v>
                </c:pt>
                <c:pt idx="1">
                  <c:v>73415</c:v>
                </c:pt>
              </c:numCache>
            </c:numRef>
          </c:xVal>
          <c:yVal>
            <c:numRef>
              <c:f>Nickel!$G$57:$G$58</c:f>
              <c:numCache>
                <c:formatCode>0.000</c:formatCode>
                <c:ptCount val="2"/>
                <c:pt idx="0">
                  <c:v>0</c:v>
                </c:pt>
                <c:pt idx="1">
                  <c:v>0</c:v>
                </c:pt>
              </c:numCache>
            </c:numRef>
          </c:yVal>
          <c:smooth val="0"/>
          <c:extLst>
            <c:ext xmlns:c16="http://schemas.microsoft.com/office/drawing/2014/chart" uri="{C3380CC4-5D6E-409C-BE32-E72D297353CC}">
              <c16:uniqueId val="{00000005-E37C-4E9E-871A-DD97C8325BA2}"/>
            </c:ext>
          </c:extLst>
        </c:ser>
        <c:ser>
          <c:idx val="3"/>
          <c:order val="6"/>
          <c:tx>
            <c:v>Q98</c:v>
          </c:tx>
          <c:spPr>
            <a:ln w="12700">
              <a:solidFill>
                <a:srgbClr val="0000FF"/>
              </a:solidFill>
              <a:prstDash val="solid"/>
            </a:ln>
          </c:spPr>
          <c:marker>
            <c:symbol val="none"/>
          </c:marker>
          <c:xVal>
            <c:numRef>
              <c:f>Nickel!$E$57:$E$58</c:f>
              <c:numCache>
                <c:formatCode>m/d/yyyy</c:formatCode>
                <c:ptCount val="2"/>
                <c:pt idx="0">
                  <c:v>1</c:v>
                </c:pt>
                <c:pt idx="1">
                  <c:v>73415</c:v>
                </c:pt>
              </c:numCache>
            </c:numRef>
          </c:xVal>
          <c:yVal>
            <c:numRef>
              <c:f>Nickel!$H$57:$H$58</c:f>
              <c:numCache>
                <c:formatCode>0.000</c:formatCode>
                <c:ptCount val="2"/>
                <c:pt idx="0">
                  <c:v>0</c:v>
                </c:pt>
                <c:pt idx="1">
                  <c:v>0</c:v>
                </c:pt>
              </c:numCache>
            </c:numRef>
          </c:yVal>
          <c:smooth val="0"/>
          <c:extLst>
            <c:ext xmlns:c16="http://schemas.microsoft.com/office/drawing/2014/chart" uri="{C3380CC4-5D6E-409C-BE32-E72D297353CC}">
              <c16:uniqueId val="{00000006-E37C-4E9E-871A-DD97C8325BA2}"/>
            </c:ext>
          </c:extLst>
        </c:ser>
        <c:ser>
          <c:idx val="6"/>
          <c:order val="7"/>
          <c:tx>
            <c:v>Q98Log</c:v>
          </c:tx>
          <c:spPr>
            <a:ln w="12700">
              <a:solidFill>
                <a:srgbClr val="CC00FF"/>
              </a:solidFill>
            </a:ln>
          </c:spPr>
          <c:marker>
            <c:symbol val="none"/>
          </c:marker>
          <c:xVal>
            <c:numRef>
              <c:f>Nickel!$E$57:$E$58</c:f>
              <c:numCache>
                <c:formatCode>m/d/yyyy</c:formatCode>
                <c:ptCount val="2"/>
                <c:pt idx="0">
                  <c:v>1</c:v>
                </c:pt>
                <c:pt idx="1">
                  <c:v>73415</c:v>
                </c:pt>
              </c:numCache>
            </c:numRef>
          </c:xVal>
          <c:yVal>
            <c:numRef>
              <c:f>Nickel!$K$57:$K$58</c:f>
              <c:numCache>
                <c:formatCode>0.000</c:formatCode>
                <c:ptCount val="2"/>
                <c:pt idx="0">
                  <c:v>0</c:v>
                </c:pt>
                <c:pt idx="1">
                  <c:v>0</c:v>
                </c:pt>
              </c:numCache>
            </c:numRef>
          </c:yVal>
          <c:smooth val="0"/>
          <c:extLst>
            <c:ext xmlns:c16="http://schemas.microsoft.com/office/drawing/2014/chart" uri="{C3380CC4-5D6E-409C-BE32-E72D297353CC}">
              <c16:uniqueId val="{00000007-E37C-4E9E-871A-DD97C8325BA2}"/>
            </c:ext>
          </c:extLst>
        </c:ser>
        <c:dLbls>
          <c:showLegendKey val="0"/>
          <c:showVal val="0"/>
          <c:showCatName val="0"/>
          <c:showSerName val="0"/>
          <c:showPercent val="0"/>
          <c:showBubbleSize val="0"/>
        </c:dLbls>
        <c:axId val="158127616"/>
        <c:axId val="158129152"/>
      </c:scatterChart>
      <c:valAx>
        <c:axId val="158127616"/>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8129152"/>
        <c:crossesAt val="0"/>
        <c:crossBetween val="midCat"/>
        <c:majorUnit val="1461"/>
        <c:minorUnit val="365.25"/>
      </c:valAx>
      <c:valAx>
        <c:axId val="158129152"/>
        <c:scaling>
          <c:orientation val="minMax"/>
          <c:max val="1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8127616"/>
        <c:crossesAt val="0"/>
        <c:crossBetween val="midCat"/>
        <c:majorUnit val="20"/>
        <c:minorUnit val="10"/>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Quecksilber!$F$63:$F$113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Quecksilber!$G$63:$G$113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F579-4CE3-9A55-8E3BCFDF757C}"/>
            </c:ext>
          </c:extLst>
        </c:ser>
        <c:ser>
          <c:idx val="1"/>
          <c:order val="1"/>
          <c:tx>
            <c:v>LogNormalverteilung</c:v>
          </c:tx>
          <c:spPr>
            <a:ln w="25400">
              <a:solidFill>
                <a:srgbClr val="FF00FF"/>
              </a:solidFill>
              <a:prstDash val="solid"/>
            </a:ln>
          </c:spPr>
          <c:marker>
            <c:symbol val="none"/>
          </c:marker>
          <c:xVal>
            <c:numRef>
              <c:f>Quecksilber!$I$63:$I$113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Quecksilber!$J$63:$J$113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F579-4CE3-9A55-8E3BCFDF757C}"/>
            </c:ext>
          </c:extLst>
        </c:ser>
        <c:ser>
          <c:idx val="2"/>
          <c:order val="2"/>
          <c:tx>
            <c:v>Histogramm</c:v>
          </c:tx>
          <c:spPr>
            <a:ln w="25400">
              <a:solidFill>
                <a:srgbClr val="969696"/>
              </a:solidFill>
              <a:prstDash val="lgDashDot"/>
            </a:ln>
          </c:spPr>
          <c:marker>
            <c:symbol val="none"/>
          </c:marker>
          <c:xVal>
            <c:numRef>
              <c:f>Quecksilber!$T$46:$T$97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Quecksilber!$U$46:$U$97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F579-4CE3-9A55-8E3BCFDF757C}"/>
            </c:ext>
          </c:extLst>
        </c:ser>
        <c:ser>
          <c:idx val="3"/>
          <c:order val="3"/>
          <c:tx>
            <c:v>Q95 No</c:v>
          </c:tx>
          <c:spPr>
            <a:ln w="12700">
              <a:solidFill>
                <a:srgbClr val="0000FF"/>
              </a:solidFill>
              <a:prstDash val="sysDash"/>
            </a:ln>
          </c:spPr>
          <c:marker>
            <c:symbol val="none"/>
          </c:marker>
          <c:xVal>
            <c:numRef>
              <c:f>Quecksilber!$U$3:$V$3</c:f>
              <c:numCache>
                <c:formatCode>0.000</c:formatCode>
                <c:ptCount val="2"/>
                <c:pt idx="0">
                  <c:v>0</c:v>
                </c:pt>
                <c:pt idx="1">
                  <c:v>0</c:v>
                </c:pt>
              </c:numCache>
            </c:numRef>
          </c:xVal>
          <c:yVal>
            <c:numRef>
              <c:f>Quecksilber!$U$2:$V$2</c:f>
              <c:numCache>
                <c:formatCode>General</c:formatCode>
                <c:ptCount val="2"/>
                <c:pt idx="0">
                  <c:v>0</c:v>
                </c:pt>
                <c:pt idx="1">
                  <c:v>1000</c:v>
                </c:pt>
              </c:numCache>
            </c:numRef>
          </c:yVal>
          <c:smooth val="0"/>
          <c:extLst>
            <c:ext xmlns:c16="http://schemas.microsoft.com/office/drawing/2014/chart" uri="{C3380CC4-5D6E-409C-BE32-E72D297353CC}">
              <c16:uniqueId val="{00000003-F579-4CE3-9A55-8E3BCFDF757C}"/>
            </c:ext>
          </c:extLst>
        </c:ser>
        <c:ser>
          <c:idx val="4"/>
          <c:order val="4"/>
          <c:tx>
            <c:v>Q95 Lo</c:v>
          </c:tx>
          <c:spPr>
            <a:ln w="12700">
              <a:solidFill>
                <a:srgbClr val="FF00FF"/>
              </a:solidFill>
              <a:prstDash val="sysDash"/>
            </a:ln>
          </c:spPr>
          <c:marker>
            <c:symbol val="none"/>
          </c:marker>
          <c:xVal>
            <c:numRef>
              <c:f>Quecksilber!$U$4:$V$4</c:f>
              <c:numCache>
                <c:formatCode>0.000</c:formatCode>
                <c:ptCount val="2"/>
                <c:pt idx="0">
                  <c:v>0</c:v>
                </c:pt>
                <c:pt idx="1">
                  <c:v>0</c:v>
                </c:pt>
              </c:numCache>
            </c:numRef>
          </c:xVal>
          <c:yVal>
            <c:numRef>
              <c:f>Quecksilber!$U$2:$V$2</c:f>
              <c:numCache>
                <c:formatCode>General</c:formatCode>
                <c:ptCount val="2"/>
                <c:pt idx="0">
                  <c:v>0</c:v>
                </c:pt>
                <c:pt idx="1">
                  <c:v>1000</c:v>
                </c:pt>
              </c:numCache>
            </c:numRef>
          </c:yVal>
          <c:smooth val="0"/>
          <c:extLst>
            <c:ext xmlns:c16="http://schemas.microsoft.com/office/drawing/2014/chart" uri="{C3380CC4-5D6E-409C-BE32-E72D297353CC}">
              <c16:uniqueId val="{00000004-F579-4CE3-9A55-8E3BCFDF757C}"/>
            </c:ext>
          </c:extLst>
        </c:ser>
        <c:ser>
          <c:idx val="5"/>
          <c:order val="5"/>
          <c:tx>
            <c:v>Q98 No</c:v>
          </c:tx>
          <c:spPr>
            <a:ln w="12700">
              <a:solidFill>
                <a:srgbClr val="0000FF"/>
              </a:solidFill>
              <a:prstDash val="solid"/>
            </a:ln>
          </c:spPr>
          <c:marker>
            <c:symbol val="none"/>
          </c:marker>
          <c:xVal>
            <c:numRef>
              <c:f>Quecksilber!$U$5:$V$5</c:f>
              <c:numCache>
                <c:formatCode>0.000</c:formatCode>
                <c:ptCount val="2"/>
                <c:pt idx="0">
                  <c:v>0</c:v>
                </c:pt>
                <c:pt idx="1">
                  <c:v>0</c:v>
                </c:pt>
              </c:numCache>
            </c:numRef>
          </c:xVal>
          <c:yVal>
            <c:numRef>
              <c:f>Quecksilber!$U$2:$V$2</c:f>
              <c:numCache>
                <c:formatCode>General</c:formatCode>
                <c:ptCount val="2"/>
                <c:pt idx="0">
                  <c:v>0</c:v>
                </c:pt>
                <c:pt idx="1">
                  <c:v>1000</c:v>
                </c:pt>
              </c:numCache>
            </c:numRef>
          </c:yVal>
          <c:smooth val="0"/>
          <c:extLst>
            <c:ext xmlns:c16="http://schemas.microsoft.com/office/drawing/2014/chart" uri="{C3380CC4-5D6E-409C-BE32-E72D297353CC}">
              <c16:uniqueId val="{00000005-F579-4CE3-9A55-8E3BCFDF757C}"/>
            </c:ext>
          </c:extLst>
        </c:ser>
        <c:ser>
          <c:idx val="6"/>
          <c:order val="6"/>
          <c:tx>
            <c:v>Q98 Lo</c:v>
          </c:tx>
          <c:spPr>
            <a:ln w="12700">
              <a:solidFill>
                <a:srgbClr val="FF00FF"/>
              </a:solidFill>
              <a:prstDash val="solid"/>
            </a:ln>
          </c:spPr>
          <c:marker>
            <c:symbol val="none"/>
          </c:marker>
          <c:xVal>
            <c:numRef>
              <c:f>Quecksilber!$U$6:$V$6</c:f>
              <c:numCache>
                <c:formatCode>0.000</c:formatCode>
                <c:ptCount val="2"/>
                <c:pt idx="0">
                  <c:v>0</c:v>
                </c:pt>
                <c:pt idx="1">
                  <c:v>0</c:v>
                </c:pt>
              </c:numCache>
            </c:numRef>
          </c:xVal>
          <c:yVal>
            <c:numRef>
              <c:f>Quecksilber!$U$2:$V$2</c:f>
              <c:numCache>
                <c:formatCode>General</c:formatCode>
                <c:ptCount val="2"/>
                <c:pt idx="0">
                  <c:v>0</c:v>
                </c:pt>
                <c:pt idx="1">
                  <c:v>1000</c:v>
                </c:pt>
              </c:numCache>
            </c:numRef>
          </c:yVal>
          <c:smooth val="0"/>
          <c:extLst>
            <c:ext xmlns:c16="http://schemas.microsoft.com/office/drawing/2014/chart" uri="{C3380CC4-5D6E-409C-BE32-E72D297353CC}">
              <c16:uniqueId val="{00000006-F579-4CE3-9A55-8E3BCFDF757C}"/>
            </c:ext>
          </c:extLst>
        </c:ser>
        <c:ser>
          <c:idx val="7"/>
          <c:order val="7"/>
          <c:tx>
            <c:v>Q95u</c:v>
          </c:tx>
          <c:spPr>
            <a:ln w="12700">
              <a:solidFill>
                <a:srgbClr val="0000FF"/>
              </a:solidFill>
              <a:prstDash val="sysDash"/>
            </a:ln>
          </c:spPr>
          <c:marker>
            <c:symbol val="none"/>
          </c:marker>
          <c:xVal>
            <c:numRef>
              <c:f>Quecksilber!$U$7:$V$7</c:f>
              <c:numCache>
                <c:formatCode>0.000</c:formatCode>
                <c:ptCount val="2"/>
                <c:pt idx="0">
                  <c:v>0</c:v>
                </c:pt>
                <c:pt idx="1">
                  <c:v>0</c:v>
                </c:pt>
              </c:numCache>
            </c:numRef>
          </c:xVal>
          <c:yVal>
            <c:numRef>
              <c:f>Quecksilber!$U$2:$V$2</c:f>
              <c:numCache>
                <c:formatCode>General</c:formatCode>
                <c:ptCount val="2"/>
                <c:pt idx="0">
                  <c:v>0</c:v>
                </c:pt>
                <c:pt idx="1">
                  <c:v>1000</c:v>
                </c:pt>
              </c:numCache>
            </c:numRef>
          </c:yVal>
          <c:smooth val="0"/>
          <c:extLst>
            <c:ext xmlns:c16="http://schemas.microsoft.com/office/drawing/2014/chart" uri="{C3380CC4-5D6E-409C-BE32-E72D297353CC}">
              <c16:uniqueId val="{00000007-F579-4CE3-9A55-8E3BCFDF757C}"/>
            </c:ext>
          </c:extLst>
        </c:ser>
        <c:ser>
          <c:idx val="8"/>
          <c:order val="8"/>
          <c:tx>
            <c:v>Q95u Lo</c:v>
          </c:tx>
          <c:spPr>
            <a:ln w="12700">
              <a:solidFill>
                <a:srgbClr val="FF00FF"/>
              </a:solidFill>
              <a:prstDash val="sysDash"/>
            </a:ln>
          </c:spPr>
          <c:marker>
            <c:symbol val="none"/>
          </c:marker>
          <c:xVal>
            <c:numRef>
              <c:f>Quecksilber!$U$8:$V$8</c:f>
              <c:numCache>
                <c:formatCode>0.000</c:formatCode>
                <c:ptCount val="2"/>
                <c:pt idx="0">
                  <c:v>0</c:v>
                </c:pt>
                <c:pt idx="1">
                  <c:v>0</c:v>
                </c:pt>
              </c:numCache>
            </c:numRef>
          </c:xVal>
          <c:yVal>
            <c:numRef>
              <c:f>Quecksilber!$U$2:$V$2</c:f>
              <c:numCache>
                <c:formatCode>General</c:formatCode>
                <c:ptCount val="2"/>
                <c:pt idx="0">
                  <c:v>0</c:v>
                </c:pt>
                <c:pt idx="1">
                  <c:v>1000</c:v>
                </c:pt>
              </c:numCache>
            </c:numRef>
          </c:yVal>
          <c:smooth val="0"/>
          <c:extLst>
            <c:ext xmlns:c16="http://schemas.microsoft.com/office/drawing/2014/chart" uri="{C3380CC4-5D6E-409C-BE32-E72D297353CC}">
              <c16:uniqueId val="{00000008-F579-4CE3-9A55-8E3BCFDF757C}"/>
            </c:ext>
          </c:extLst>
        </c:ser>
        <c:ser>
          <c:idx val="9"/>
          <c:order val="9"/>
          <c:tx>
            <c:v>Median</c:v>
          </c:tx>
          <c:spPr>
            <a:ln w="12700">
              <a:solidFill>
                <a:srgbClr val="969696"/>
              </a:solidFill>
              <a:prstDash val="lgDashDotDot"/>
            </a:ln>
          </c:spPr>
          <c:marker>
            <c:symbol val="none"/>
          </c:marker>
          <c:xVal>
            <c:numRef>
              <c:f>Quecksilber!$U$11:$V$11</c:f>
              <c:numCache>
                <c:formatCode>0.000</c:formatCode>
                <c:ptCount val="2"/>
                <c:pt idx="0">
                  <c:v>0</c:v>
                </c:pt>
                <c:pt idx="1">
                  <c:v>0</c:v>
                </c:pt>
              </c:numCache>
            </c:numRef>
          </c:xVal>
          <c:yVal>
            <c:numRef>
              <c:f>Quecksilber!$U$2:$V$2</c:f>
              <c:numCache>
                <c:formatCode>General</c:formatCode>
                <c:ptCount val="2"/>
                <c:pt idx="0">
                  <c:v>0</c:v>
                </c:pt>
                <c:pt idx="1">
                  <c:v>1000</c:v>
                </c:pt>
              </c:numCache>
            </c:numRef>
          </c:yVal>
          <c:smooth val="0"/>
          <c:extLst>
            <c:ext xmlns:c16="http://schemas.microsoft.com/office/drawing/2014/chart" uri="{C3380CC4-5D6E-409C-BE32-E72D297353CC}">
              <c16:uniqueId val="{00000009-F579-4CE3-9A55-8E3BCFDF757C}"/>
            </c:ext>
          </c:extLst>
        </c:ser>
        <c:dLbls>
          <c:showLegendKey val="0"/>
          <c:showVal val="0"/>
          <c:showCatName val="0"/>
          <c:showSerName val="0"/>
          <c:showPercent val="0"/>
          <c:showBubbleSize val="0"/>
        </c:dLbls>
        <c:axId val="158376704"/>
        <c:axId val="158378240"/>
      </c:scatterChart>
      <c:valAx>
        <c:axId val="158376704"/>
        <c:scaling>
          <c:orientation val="minMax"/>
          <c:max val="2"/>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8378240"/>
        <c:crosses val="autoZero"/>
        <c:crossBetween val="midCat"/>
        <c:majorUnit val="1"/>
        <c:minorUnit val="0.5"/>
      </c:valAx>
      <c:valAx>
        <c:axId val="158378240"/>
        <c:scaling>
          <c:orientation val="minMax"/>
          <c:max val="5"/>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8376704"/>
        <c:crosses val="autoZero"/>
        <c:crossBetween val="midCat"/>
        <c:majorUnit val="1"/>
        <c:minorUnit val="5.000000000000001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Quecksilber!$M$3:$M$252</c:f>
              <c:numCache>
                <c:formatCode>d/m/yyyy;@</c:formatCode>
                <c:ptCount val="250"/>
              </c:numCache>
            </c:numRef>
          </c:xVal>
          <c:yVal>
            <c:numRef>
              <c:f>Quecksilber!$N$3:$N$252</c:f>
              <c:numCache>
                <c:formatCode>General</c:formatCode>
                <c:ptCount val="250"/>
              </c:numCache>
            </c:numRef>
          </c:yVal>
          <c:smooth val="0"/>
          <c:extLst>
            <c:ext xmlns:c16="http://schemas.microsoft.com/office/drawing/2014/chart" uri="{C3380CC4-5D6E-409C-BE32-E72D297353CC}">
              <c16:uniqueId val="{00000000-FA53-4857-A8A5-1F0F5E99D993}"/>
            </c:ext>
          </c:extLst>
        </c:ser>
        <c:ser>
          <c:idx val="1"/>
          <c:order val="1"/>
          <c:tx>
            <c:v>Q95</c:v>
          </c:tx>
          <c:spPr>
            <a:ln w="12700">
              <a:solidFill>
                <a:srgbClr val="0000FF"/>
              </a:solidFill>
              <a:prstDash val="sysDash"/>
            </a:ln>
          </c:spPr>
          <c:marker>
            <c:symbol val="none"/>
          </c:marker>
          <c:xVal>
            <c:numRef>
              <c:f>Quecksilber!$E$57:$E$58</c:f>
              <c:numCache>
                <c:formatCode>m/d/yyyy</c:formatCode>
                <c:ptCount val="2"/>
                <c:pt idx="0">
                  <c:v>1</c:v>
                </c:pt>
                <c:pt idx="1">
                  <c:v>73415</c:v>
                </c:pt>
              </c:numCache>
            </c:numRef>
          </c:xVal>
          <c:yVal>
            <c:numRef>
              <c:f>Quecksilber!$F$57:$F$58</c:f>
              <c:numCache>
                <c:formatCode>0.000</c:formatCode>
                <c:ptCount val="2"/>
                <c:pt idx="0">
                  <c:v>0</c:v>
                </c:pt>
                <c:pt idx="1">
                  <c:v>0</c:v>
                </c:pt>
              </c:numCache>
            </c:numRef>
          </c:yVal>
          <c:smooth val="0"/>
          <c:extLst>
            <c:ext xmlns:c16="http://schemas.microsoft.com/office/drawing/2014/chart" uri="{C3380CC4-5D6E-409C-BE32-E72D297353CC}">
              <c16:uniqueId val="{00000001-FA53-4857-A8A5-1F0F5E99D993}"/>
            </c:ext>
          </c:extLst>
        </c:ser>
        <c:ser>
          <c:idx val="4"/>
          <c:order val="2"/>
          <c:tx>
            <c:v>Q95Log</c:v>
          </c:tx>
          <c:spPr>
            <a:ln w="12700">
              <a:solidFill>
                <a:srgbClr val="FF00FF"/>
              </a:solidFill>
              <a:prstDash val="sysDash"/>
            </a:ln>
          </c:spPr>
          <c:marker>
            <c:symbol val="none"/>
          </c:marker>
          <c:xVal>
            <c:numRef>
              <c:f>Quecksilber!$E$57:$E$58</c:f>
              <c:numCache>
                <c:formatCode>m/d/yyyy</c:formatCode>
                <c:ptCount val="2"/>
                <c:pt idx="0">
                  <c:v>1</c:v>
                </c:pt>
                <c:pt idx="1">
                  <c:v>73415</c:v>
                </c:pt>
              </c:numCache>
            </c:numRef>
          </c:xVal>
          <c:yVal>
            <c:numRef>
              <c:f>Quecksilber!$J$57:$J$58</c:f>
              <c:numCache>
                <c:formatCode>0.000</c:formatCode>
                <c:ptCount val="2"/>
                <c:pt idx="0">
                  <c:v>0</c:v>
                </c:pt>
                <c:pt idx="1">
                  <c:v>0</c:v>
                </c:pt>
              </c:numCache>
            </c:numRef>
          </c:yVal>
          <c:smooth val="0"/>
          <c:extLst>
            <c:ext xmlns:c16="http://schemas.microsoft.com/office/drawing/2014/chart" uri="{C3380CC4-5D6E-409C-BE32-E72D297353CC}">
              <c16:uniqueId val="{00000002-FA53-4857-A8A5-1F0F5E99D993}"/>
            </c:ext>
          </c:extLst>
        </c:ser>
        <c:ser>
          <c:idx val="9"/>
          <c:order val="3"/>
          <c:tx>
            <c:v>vT</c:v>
          </c:tx>
          <c:spPr>
            <a:ln w="12700">
              <a:solidFill>
                <a:srgbClr val="808080"/>
              </a:solidFill>
              <a:prstDash val="sysDash"/>
            </a:ln>
          </c:spPr>
          <c:marker>
            <c:symbol val="none"/>
          </c:marker>
          <c:xVal>
            <c:numRef>
              <c:f>Quecksilber!$G$122:$G$123</c:f>
              <c:numCache>
                <c:formatCode>d/m/yyyy;@</c:formatCode>
                <c:ptCount val="2"/>
                <c:pt idx="0">
                  <c:v>0</c:v>
                </c:pt>
                <c:pt idx="1">
                  <c:v>0</c:v>
                </c:pt>
              </c:numCache>
            </c:numRef>
          </c:xVal>
          <c:yVal>
            <c:numRef>
              <c:f>Quecksilber!$I$122:$I$123</c:f>
              <c:numCache>
                <c:formatCode>General</c:formatCode>
                <c:ptCount val="2"/>
                <c:pt idx="0">
                  <c:v>0</c:v>
                </c:pt>
                <c:pt idx="1">
                  <c:v>0</c:v>
                </c:pt>
              </c:numCache>
            </c:numRef>
          </c:yVal>
          <c:smooth val="0"/>
          <c:extLst>
            <c:ext xmlns:c16="http://schemas.microsoft.com/office/drawing/2014/chart" uri="{C3380CC4-5D6E-409C-BE32-E72D297353CC}">
              <c16:uniqueId val="{00000003-FA53-4857-A8A5-1F0F5E99D993}"/>
            </c:ext>
          </c:extLst>
        </c:ser>
        <c:ser>
          <c:idx val="10"/>
          <c:order val="4"/>
          <c:tx>
            <c:v>Trend</c:v>
          </c:tx>
          <c:spPr>
            <a:ln w="12700">
              <a:solidFill>
                <a:srgbClr val="808080"/>
              </a:solidFill>
              <a:prstDash val="solid"/>
            </a:ln>
          </c:spPr>
          <c:marker>
            <c:symbol val="none"/>
          </c:marker>
          <c:xVal>
            <c:numRef>
              <c:f>Quecksilber!$G$122:$G$123</c:f>
              <c:numCache>
                <c:formatCode>d/m/yyyy;@</c:formatCode>
                <c:ptCount val="2"/>
                <c:pt idx="0">
                  <c:v>0</c:v>
                </c:pt>
                <c:pt idx="1">
                  <c:v>0</c:v>
                </c:pt>
              </c:numCache>
            </c:numRef>
          </c:xVal>
          <c:yVal>
            <c:numRef>
              <c:f>Quecksilber!$J$122:$J$123</c:f>
              <c:numCache>
                <c:formatCode>General</c:formatCode>
                <c:ptCount val="2"/>
                <c:pt idx="0">
                  <c:v>0</c:v>
                </c:pt>
                <c:pt idx="1">
                  <c:v>0</c:v>
                </c:pt>
              </c:numCache>
            </c:numRef>
          </c:yVal>
          <c:smooth val="0"/>
          <c:extLst>
            <c:ext xmlns:c16="http://schemas.microsoft.com/office/drawing/2014/chart" uri="{C3380CC4-5D6E-409C-BE32-E72D297353CC}">
              <c16:uniqueId val="{00000004-FA53-4857-A8A5-1F0F5E99D993}"/>
            </c:ext>
          </c:extLst>
        </c:ser>
        <c:ser>
          <c:idx val="2"/>
          <c:order val="5"/>
          <c:tx>
            <c:v>Q95u</c:v>
          </c:tx>
          <c:spPr>
            <a:ln w="12700">
              <a:solidFill>
                <a:srgbClr val="0000FF"/>
              </a:solidFill>
              <a:prstDash val="sysDash"/>
            </a:ln>
          </c:spPr>
          <c:marker>
            <c:symbol val="none"/>
          </c:marker>
          <c:xVal>
            <c:numRef>
              <c:f>Quecksilber!$E$57:$E$58</c:f>
              <c:numCache>
                <c:formatCode>m/d/yyyy</c:formatCode>
                <c:ptCount val="2"/>
                <c:pt idx="0">
                  <c:v>1</c:v>
                </c:pt>
                <c:pt idx="1">
                  <c:v>73415</c:v>
                </c:pt>
              </c:numCache>
            </c:numRef>
          </c:xVal>
          <c:yVal>
            <c:numRef>
              <c:f>Quecksilber!$G$57:$G$58</c:f>
              <c:numCache>
                <c:formatCode>0.000</c:formatCode>
                <c:ptCount val="2"/>
                <c:pt idx="0">
                  <c:v>0</c:v>
                </c:pt>
                <c:pt idx="1">
                  <c:v>0</c:v>
                </c:pt>
              </c:numCache>
            </c:numRef>
          </c:yVal>
          <c:smooth val="0"/>
          <c:extLst>
            <c:ext xmlns:c16="http://schemas.microsoft.com/office/drawing/2014/chart" uri="{C3380CC4-5D6E-409C-BE32-E72D297353CC}">
              <c16:uniqueId val="{00000005-FA53-4857-A8A5-1F0F5E99D993}"/>
            </c:ext>
          </c:extLst>
        </c:ser>
        <c:ser>
          <c:idx val="3"/>
          <c:order val="6"/>
          <c:tx>
            <c:v>Q98</c:v>
          </c:tx>
          <c:spPr>
            <a:ln w="12700">
              <a:solidFill>
                <a:srgbClr val="0000FF"/>
              </a:solidFill>
              <a:prstDash val="solid"/>
            </a:ln>
          </c:spPr>
          <c:marker>
            <c:symbol val="none"/>
          </c:marker>
          <c:xVal>
            <c:numRef>
              <c:f>Quecksilber!$E$57:$E$58</c:f>
              <c:numCache>
                <c:formatCode>m/d/yyyy</c:formatCode>
                <c:ptCount val="2"/>
                <c:pt idx="0">
                  <c:v>1</c:v>
                </c:pt>
                <c:pt idx="1">
                  <c:v>73415</c:v>
                </c:pt>
              </c:numCache>
            </c:numRef>
          </c:xVal>
          <c:yVal>
            <c:numRef>
              <c:f>Quecksilber!$H$57:$H$58</c:f>
              <c:numCache>
                <c:formatCode>0.000</c:formatCode>
                <c:ptCount val="2"/>
                <c:pt idx="0">
                  <c:v>0</c:v>
                </c:pt>
                <c:pt idx="1">
                  <c:v>0</c:v>
                </c:pt>
              </c:numCache>
            </c:numRef>
          </c:yVal>
          <c:smooth val="0"/>
          <c:extLst>
            <c:ext xmlns:c16="http://schemas.microsoft.com/office/drawing/2014/chart" uri="{C3380CC4-5D6E-409C-BE32-E72D297353CC}">
              <c16:uniqueId val="{00000006-FA53-4857-A8A5-1F0F5E99D993}"/>
            </c:ext>
          </c:extLst>
        </c:ser>
        <c:ser>
          <c:idx val="6"/>
          <c:order val="7"/>
          <c:tx>
            <c:v>Q98Log</c:v>
          </c:tx>
          <c:spPr>
            <a:ln w="12700">
              <a:solidFill>
                <a:srgbClr val="CC00FF"/>
              </a:solidFill>
            </a:ln>
          </c:spPr>
          <c:marker>
            <c:symbol val="none"/>
          </c:marker>
          <c:xVal>
            <c:numRef>
              <c:f>Quecksilber!$E$57:$E$58</c:f>
              <c:numCache>
                <c:formatCode>m/d/yyyy</c:formatCode>
                <c:ptCount val="2"/>
                <c:pt idx="0">
                  <c:v>1</c:v>
                </c:pt>
                <c:pt idx="1">
                  <c:v>73415</c:v>
                </c:pt>
              </c:numCache>
            </c:numRef>
          </c:xVal>
          <c:yVal>
            <c:numRef>
              <c:f>Quecksilber!$K$57:$K$58</c:f>
              <c:numCache>
                <c:formatCode>0.000</c:formatCode>
                <c:ptCount val="2"/>
                <c:pt idx="0">
                  <c:v>0</c:v>
                </c:pt>
                <c:pt idx="1">
                  <c:v>0</c:v>
                </c:pt>
              </c:numCache>
            </c:numRef>
          </c:yVal>
          <c:smooth val="0"/>
          <c:extLst>
            <c:ext xmlns:c16="http://schemas.microsoft.com/office/drawing/2014/chart" uri="{C3380CC4-5D6E-409C-BE32-E72D297353CC}">
              <c16:uniqueId val="{00000007-FA53-4857-A8A5-1F0F5E99D993}"/>
            </c:ext>
          </c:extLst>
        </c:ser>
        <c:dLbls>
          <c:showLegendKey val="0"/>
          <c:showVal val="0"/>
          <c:showCatName val="0"/>
          <c:showSerName val="0"/>
          <c:showPercent val="0"/>
          <c:showBubbleSize val="0"/>
        </c:dLbls>
        <c:axId val="158428160"/>
        <c:axId val="158442240"/>
      </c:scatterChart>
      <c:valAx>
        <c:axId val="158428160"/>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8442240"/>
        <c:crossesAt val="0"/>
        <c:crossBetween val="midCat"/>
        <c:majorUnit val="1461"/>
        <c:minorUnit val="365.25"/>
      </c:valAx>
      <c:valAx>
        <c:axId val="158442240"/>
        <c:scaling>
          <c:orientation val="minMax"/>
          <c:max val="5"/>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8428160"/>
        <c:crossesAt val="0"/>
        <c:crossBetween val="midCat"/>
        <c:majorUnit val="1"/>
        <c:minorUnit val="0.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Zink!$F$63:$F$113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Zink!$G$63:$G$113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FFE5-40B9-9DEA-C88C16C7E6C3}"/>
            </c:ext>
          </c:extLst>
        </c:ser>
        <c:ser>
          <c:idx val="1"/>
          <c:order val="1"/>
          <c:tx>
            <c:v>LogNormalverteilung</c:v>
          </c:tx>
          <c:spPr>
            <a:ln w="25400">
              <a:solidFill>
                <a:srgbClr val="FF00FF"/>
              </a:solidFill>
              <a:prstDash val="solid"/>
            </a:ln>
          </c:spPr>
          <c:marker>
            <c:symbol val="none"/>
          </c:marker>
          <c:xVal>
            <c:numRef>
              <c:f>Zink!$I$63:$I$113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Zink!$J$63:$J$113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FFE5-40B9-9DEA-C88C16C7E6C3}"/>
            </c:ext>
          </c:extLst>
        </c:ser>
        <c:ser>
          <c:idx val="2"/>
          <c:order val="2"/>
          <c:tx>
            <c:v>Histogramm</c:v>
          </c:tx>
          <c:spPr>
            <a:ln w="25400">
              <a:solidFill>
                <a:srgbClr val="969696"/>
              </a:solidFill>
              <a:prstDash val="lgDashDot"/>
            </a:ln>
          </c:spPr>
          <c:marker>
            <c:symbol val="none"/>
          </c:marker>
          <c:xVal>
            <c:numRef>
              <c:f>Zink!$T$46:$T$97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Zink!$U$46:$U$97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FFE5-40B9-9DEA-C88C16C7E6C3}"/>
            </c:ext>
          </c:extLst>
        </c:ser>
        <c:ser>
          <c:idx val="3"/>
          <c:order val="3"/>
          <c:tx>
            <c:v>Q95 No</c:v>
          </c:tx>
          <c:spPr>
            <a:ln w="12700">
              <a:solidFill>
                <a:srgbClr val="0000FF"/>
              </a:solidFill>
              <a:prstDash val="sysDash"/>
            </a:ln>
          </c:spPr>
          <c:marker>
            <c:symbol val="none"/>
          </c:marker>
          <c:xVal>
            <c:numRef>
              <c:f>Zink!$U$3:$V$3</c:f>
              <c:numCache>
                <c:formatCode>0.000</c:formatCode>
                <c:ptCount val="2"/>
                <c:pt idx="0">
                  <c:v>0</c:v>
                </c:pt>
                <c:pt idx="1">
                  <c:v>0</c:v>
                </c:pt>
              </c:numCache>
            </c:numRef>
          </c:xVal>
          <c:yVal>
            <c:numRef>
              <c:f>Zink!$U$2:$V$2</c:f>
              <c:numCache>
                <c:formatCode>General</c:formatCode>
                <c:ptCount val="2"/>
                <c:pt idx="0">
                  <c:v>0</c:v>
                </c:pt>
                <c:pt idx="1">
                  <c:v>1000</c:v>
                </c:pt>
              </c:numCache>
            </c:numRef>
          </c:yVal>
          <c:smooth val="0"/>
          <c:extLst>
            <c:ext xmlns:c16="http://schemas.microsoft.com/office/drawing/2014/chart" uri="{C3380CC4-5D6E-409C-BE32-E72D297353CC}">
              <c16:uniqueId val="{00000003-FFE5-40B9-9DEA-C88C16C7E6C3}"/>
            </c:ext>
          </c:extLst>
        </c:ser>
        <c:ser>
          <c:idx val="4"/>
          <c:order val="4"/>
          <c:tx>
            <c:v>Q95 Lo</c:v>
          </c:tx>
          <c:spPr>
            <a:ln w="12700">
              <a:solidFill>
                <a:srgbClr val="FF00FF"/>
              </a:solidFill>
              <a:prstDash val="sysDash"/>
            </a:ln>
          </c:spPr>
          <c:marker>
            <c:symbol val="none"/>
          </c:marker>
          <c:xVal>
            <c:numRef>
              <c:f>Zink!$U$4:$V$4</c:f>
              <c:numCache>
                <c:formatCode>0.000</c:formatCode>
                <c:ptCount val="2"/>
                <c:pt idx="0">
                  <c:v>0</c:v>
                </c:pt>
                <c:pt idx="1">
                  <c:v>0</c:v>
                </c:pt>
              </c:numCache>
            </c:numRef>
          </c:xVal>
          <c:yVal>
            <c:numRef>
              <c:f>Zink!$U$2:$V$2</c:f>
              <c:numCache>
                <c:formatCode>General</c:formatCode>
                <c:ptCount val="2"/>
                <c:pt idx="0">
                  <c:v>0</c:v>
                </c:pt>
                <c:pt idx="1">
                  <c:v>1000</c:v>
                </c:pt>
              </c:numCache>
            </c:numRef>
          </c:yVal>
          <c:smooth val="0"/>
          <c:extLst>
            <c:ext xmlns:c16="http://schemas.microsoft.com/office/drawing/2014/chart" uri="{C3380CC4-5D6E-409C-BE32-E72D297353CC}">
              <c16:uniqueId val="{00000004-FFE5-40B9-9DEA-C88C16C7E6C3}"/>
            </c:ext>
          </c:extLst>
        </c:ser>
        <c:ser>
          <c:idx val="5"/>
          <c:order val="5"/>
          <c:tx>
            <c:v>Q98 No</c:v>
          </c:tx>
          <c:spPr>
            <a:ln w="12700">
              <a:solidFill>
                <a:srgbClr val="0000FF"/>
              </a:solidFill>
              <a:prstDash val="solid"/>
            </a:ln>
          </c:spPr>
          <c:marker>
            <c:symbol val="none"/>
          </c:marker>
          <c:xVal>
            <c:numRef>
              <c:f>Zink!$U$5:$V$5</c:f>
              <c:numCache>
                <c:formatCode>0.000</c:formatCode>
                <c:ptCount val="2"/>
                <c:pt idx="0">
                  <c:v>0</c:v>
                </c:pt>
                <c:pt idx="1">
                  <c:v>0</c:v>
                </c:pt>
              </c:numCache>
            </c:numRef>
          </c:xVal>
          <c:yVal>
            <c:numRef>
              <c:f>Zink!$U$2:$V$2</c:f>
              <c:numCache>
                <c:formatCode>General</c:formatCode>
                <c:ptCount val="2"/>
                <c:pt idx="0">
                  <c:v>0</c:v>
                </c:pt>
                <c:pt idx="1">
                  <c:v>1000</c:v>
                </c:pt>
              </c:numCache>
            </c:numRef>
          </c:yVal>
          <c:smooth val="0"/>
          <c:extLst>
            <c:ext xmlns:c16="http://schemas.microsoft.com/office/drawing/2014/chart" uri="{C3380CC4-5D6E-409C-BE32-E72D297353CC}">
              <c16:uniqueId val="{00000005-FFE5-40B9-9DEA-C88C16C7E6C3}"/>
            </c:ext>
          </c:extLst>
        </c:ser>
        <c:ser>
          <c:idx val="6"/>
          <c:order val="6"/>
          <c:tx>
            <c:v>Q98 Lo</c:v>
          </c:tx>
          <c:spPr>
            <a:ln w="12700">
              <a:solidFill>
                <a:srgbClr val="FF00FF"/>
              </a:solidFill>
              <a:prstDash val="solid"/>
            </a:ln>
          </c:spPr>
          <c:marker>
            <c:symbol val="none"/>
          </c:marker>
          <c:xVal>
            <c:numRef>
              <c:f>Zink!$U$6:$V$6</c:f>
              <c:numCache>
                <c:formatCode>0.000</c:formatCode>
                <c:ptCount val="2"/>
                <c:pt idx="0">
                  <c:v>0</c:v>
                </c:pt>
                <c:pt idx="1">
                  <c:v>0</c:v>
                </c:pt>
              </c:numCache>
            </c:numRef>
          </c:xVal>
          <c:yVal>
            <c:numRef>
              <c:f>Zink!$U$2:$V$2</c:f>
              <c:numCache>
                <c:formatCode>General</c:formatCode>
                <c:ptCount val="2"/>
                <c:pt idx="0">
                  <c:v>0</c:v>
                </c:pt>
                <c:pt idx="1">
                  <c:v>1000</c:v>
                </c:pt>
              </c:numCache>
            </c:numRef>
          </c:yVal>
          <c:smooth val="0"/>
          <c:extLst>
            <c:ext xmlns:c16="http://schemas.microsoft.com/office/drawing/2014/chart" uri="{C3380CC4-5D6E-409C-BE32-E72D297353CC}">
              <c16:uniqueId val="{00000006-FFE5-40B9-9DEA-C88C16C7E6C3}"/>
            </c:ext>
          </c:extLst>
        </c:ser>
        <c:ser>
          <c:idx val="7"/>
          <c:order val="7"/>
          <c:tx>
            <c:v>Q95u</c:v>
          </c:tx>
          <c:spPr>
            <a:ln w="12700">
              <a:solidFill>
                <a:srgbClr val="0000FF"/>
              </a:solidFill>
              <a:prstDash val="sysDash"/>
            </a:ln>
          </c:spPr>
          <c:marker>
            <c:symbol val="none"/>
          </c:marker>
          <c:xVal>
            <c:numRef>
              <c:f>Zink!$U$7:$V$7</c:f>
              <c:numCache>
                <c:formatCode>0.000</c:formatCode>
                <c:ptCount val="2"/>
                <c:pt idx="0">
                  <c:v>0</c:v>
                </c:pt>
                <c:pt idx="1">
                  <c:v>0</c:v>
                </c:pt>
              </c:numCache>
            </c:numRef>
          </c:xVal>
          <c:yVal>
            <c:numRef>
              <c:f>Zink!$U$2:$V$2</c:f>
              <c:numCache>
                <c:formatCode>General</c:formatCode>
                <c:ptCount val="2"/>
                <c:pt idx="0">
                  <c:v>0</c:v>
                </c:pt>
                <c:pt idx="1">
                  <c:v>1000</c:v>
                </c:pt>
              </c:numCache>
            </c:numRef>
          </c:yVal>
          <c:smooth val="0"/>
          <c:extLst>
            <c:ext xmlns:c16="http://schemas.microsoft.com/office/drawing/2014/chart" uri="{C3380CC4-5D6E-409C-BE32-E72D297353CC}">
              <c16:uniqueId val="{00000007-FFE5-40B9-9DEA-C88C16C7E6C3}"/>
            </c:ext>
          </c:extLst>
        </c:ser>
        <c:ser>
          <c:idx val="8"/>
          <c:order val="8"/>
          <c:tx>
            <c:v>Q95u Lo</c:v>
          </c:tx>
          <c:spPr>
            <a:ln w="12700">
              <a:solidFill>
                <a:srgbClr val="FF00FF"/>
              </a:solidFill>
              <a:prstDash val="sysDash"/>
            </a:ln>
          </c:spPr>
          <c:marker>
            <c:symbol val="none"/>
          </c:marker>
          <c:xVal>
            <c:numRef>
              <c:f>Zink!$U$8:$V$8</c:f>
              <c:numCache>
                <c:formatCode>0.000</c:formatCode>
                <c:ptCount val="2"/>
                <c:pt idx="0">
                  <c:v>0</c:v>
                </c:pt>
                <c:pt idx="1">
                  <c:v>0</c:v>
                </c:pt>
              </c:numCache>
            </c:numRef>
          </c:xVal>
          <c:yVal>
            <c:numRef>
              <c:f>Zink!$U$2:$V$2</c:f>
              <c:numCache>
                <c:formatCode>General</c:formatCode>
                <c:ptCount val="2"/>
                <c:pt idx="0">
                  <c:v>0</c:v>
                </c:pt>
                <c:pt idx="1">
                  <c:v>1000</c:v>
                </c:pt>
              </c:numCache>
            </c:numRef>
          </c:yVal>
          <c:smooth val="0"/>
          <c:extLst>
            <c:ext xmlns:c16="http://schemas.microsoft.com/office/drawing/2014/chart" uri="{C3380CC4-5D6E-409C-BE32-E72D297353CC}">
              <c16:uniqueId val="{00000008-FFE5-40B9-9DEA-C88C16C7E6C3}"/>
            </c:ext>
          </c:extLst>
        </c:ser>
        <c:ser>
          <c:idx val="9"/>
          <c:order val="9"/>
          <c:tx>
            <c:v>Median</c:v>
          </c:tx>
          <c:spPr>
            <a:ln w="12700">
              <a:solidFill>
                <a:srgbClr val="969696"/>
              </a:solidFill>
              <a:prstDash val="lgDashDotDot"/>
            </a:ln>
          </c:spPr>
          <c:marker>
            <c:symbol val="none"/>
          </c:marker>
          <c:xVal>
            <c:numRef>
              <c:f>Zink!$U$11:$V$11</c:f>
              <c:numCache>
                <c:formatCode>0.000</c:formatCode>
                <c:ptCount val="2"/>
                <c:pt idx="0">
                  <c:v>0</c:v>
                </c:pt>
                <c:pt idx="1">
                  <c:v>0</c:v>
                </c:pt>
              </c:numCache>
            </c:numRef>
          </c:xVal>
          <c:yVal>
            <c:numRef>
              <c:f>Zink!$U$2:$V$2</c:f>
              <c:numCache>
                <c:formatCode>General</c:formatCode>
                <c:ptCount val="2"/>
                <c:pt idx="0">
                  <c:v>0</c:v>
                </c:pt>
                <c:pt idx="1">
                  <c:v>1000</c:v>
                </c:pt>
              </c:numCache>
            </c:numRef>
          </c:yVal>
          <c:smooth val="0"/>
          <c:extLst>
            <c:ext xmlns:c16="http://schemas.microsoft.com/office/drawing/2014/chart" uri="{C3380CC4-5D6E-409C-BE32-E72D297353CC}">
              <c16:uniqueId val="{00000009-FFE5-40B9-9DEA-C88C16C7E6C3}"/>
            </c:ext>
          </c:extLst>
        </c:ser>
        <c:dLbls>
          <c:showLegendKey val="0"/>
          <c:showVal val="0"/>
          <c:showCatName val="0"/>
          <c:showSerName val="0"/>
          <c:showPercent val="0"/>
          <c:showBubbleSize val="0"/>
        </c:dLbls>
        <c:axId val="156289280"/>
        <c:axId val="156295168"/>
      </c:scatterChart>
      <c:valAx>
        <c:axId val="156289280"/>
        <c:scaling>
          <c:orientation val="minMax"/>
          <c:max val="1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6295168"/>
        <c:crosses val="autoZero"/>
        <c:crossBetween val="midCat"/>
        <c:majorUnit val="20"/>
        <c:minorUnit val="10"/>
      </c:valAx>
      <c:valAx>
        <c:axId val="156295168"/>
        <c:scaling>
          <c:orientation val="minMax"/>
          <c:max val="0.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6289280"/>
        <c:crosses val="autoZero"/>
        <c:crossBetween val="midCat"/>
        <c:majorUnit val="0.1"/>
        <c:minorUnit val="5.000000000000001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Zink!$M$3:$M$252</c:f>
              <c:numCache>
                <c:formatCode>d/m/yyyy;@</c:formatCode>
                <c:ptCount val="250"/>
              </c:numCache>
            </c:numRef>
          </c:xVal>
          <c:yVal>
            <c:numRef>
              <c:f>Zink!$N$3:$N$252</c:f>
              <c:numCache>
                <c:formatCode>General</c:formatCode>
                <c:ptCount val="250"/>
              </c:numCache>
            </c:numRef>
          </c:yVal>
          <c:smooth val="0"/>
          <c:extLst>
            <c:ext xmlns:c16="http://schemas.microsoft.com/office/drawing/2014/chart" uri="{C3380CC4-5D6E-409C-BE32-E72D297353CC}">
              <c16:uniqueId val="{00000000-5477-4CB0-8DFC-88447AA90A73}"/>
            </c:ext>
          </c:extLst>
        </c:ser>
        <c:ser>
          <c:idx val="1"/>
          <c:order val="1"/>
          <c:tx>
            <c:v>Q95</c:v>
          </c:tx>
          <c:spPr>
            <a:ln w="12700">
              <a:solidFill>
                <a:srgbClr val="0000FF"/>
              </a:solidFill>
              <a:prstDash val="sysDash"/>
            </a:ln>
          </c:spPr>
          <c:marker>
            <c:symbol val="none"/>
          </c:marker>
          <c:xVal>
            <c:numRef>
              <c:f>Zink!$E$57:$E$58</c:f>
              <c:numCache>
                <c:formatCode>m/d/yyyy</c:formatCode>
                <c:ptCount val="2"/>
                <c:pt idx="0">
                  <c:v>1</c:v>
                </c:pt>
                <c:pt idx="1">
                  <c:v>73415</c:v>
                </c:pt>
              </c:numCache>
            </c:numRef>
          </c:xVal>
          <c:yVal>
            <c:numRef>
              <c:f>Zink!$F$57:$F$58</c:f>
              <c:numCache>
                <c:formatCode>0.000</c:formatCode>
                <c:ptCount val="2"/>
                <c:pt idx="0">
                  <c:v>0</c:v>
                </c:pt>
                <c:pt idx="1">
                  <c:v>0</c:v>
                </c:pt>
              </c:numCache>
            </c:numRef>
          </c:yVal>
          <c:smooth val="0"/>
          <c:extLst>
            <c:ext xmlns:c16="http://schemas.microsoft.com/office/drawing/2014/chart" uri="{C3380CC4-5D6E-409C-BE32-E72D297353CC}">
              <c16:uniqueId val="{00000001-5477-4CB0-8DFC-88447AA90A73}"/>
            </c:ext>
          </c:extLst>
        </c:ser>
        <c:ser>
          <c:idx val="4"/>
          <c:order val="2"/>
          <c:tx>
            <c:v>Q95Log</c:v>
          </c:tx>
          <c:spPr>
            <a:ln w="12700">
              <a:solidFill>
                <a:srgbClr val="FF00FF"/>
              </a:solidFill>
              <a:prstDash val="sysDash"/>
            </a:ln>
          </c:spPr>
          <c:marker>
            <c:symbol val="none"/>
          </c:marker>
          <c:xVal>
            <c:numRef>
              <c:f>Zink!$E$57:$E$58</c:f>
              <c:numCache>
                <c:formatCode>m/d/yyyy</c:formatCode>
                <c:ptCount val="2"/>
                <c:pt idx="0">
                  <c:v>1</c:v>
                </c:pt>
                <c:pt idx="1">
                  <c:v>73415</c:v>
                </c:pt>
              </c:numCache>
            </c:numRef>
          </c:xVal>
          <c:yVal>
            <c:numRef>
              <c:f>Zink!$J$57:$J$58</c:f>
              <c:numCache>
                <c:formatCode>0.000</c:formatCode>
                <c:ptCount val="2"/>
                <c:pt idx="0">
                  <c:v>0</c:v>
                </c:pt>
                <c:pt idx="1">
                  <c:v>0</c:v>
                </c:pt>
              </c:numCache>
            </c:numRef>
          </c:yVal>
          <c:smooth val="0"/>
          <c:extLst>
            <c:ext xmlns:c16="http://schemas.microsoft.com/office/drawing/2014/chart" uri="{C3380CC4-5D6E-409C-BE32-E72D297353CC}">
              <c16:uniqueId val="{00000002-5477-4CB0-8DFC-88447AA90A73}"/>
            </c:ext>
          </c:extLst>
        </c:ser>
        <c:ser>
          <c:idx val="9"/>
          <c:order val="3"/>
          <c:tx>
            <c:v>vT</c:v>
          </c:tx>
          <c:spPr>
            <a:ln w="12700">
              <a:solidFill>
                <a:srgbClr val="808080"/>
              </a:solidFill>
              <a:prstDash val="sysDash"/>
            </a:ln>
          </c:spPr>
          <c:marker>
            <c:symbol val="none"/>
          </c:marker>
          <c:xVal>
            <c:numRef>
              <c:f>Zink!$G$122:$G$123</c:f>
              <c:numCache>
                <c:formatCode>d/m/yyyy;@</c:formatCode>
                <c:ptCount val="2"/>
                <c:pt idx="0">
                  <c:v>0</c:v>
                </c:pt>
                <c:pt idx="1">
                  <c:v>0</c:v>
                </c:pt>
              </c:numCache>
            </c:numRef>
          </c:xVal>
          <c:yVal>
            <c:numRef>
              <c:f>Zink!$I$122:$I$123</c:f>
              <c:numCache>
                <c:formatCode>General</c:formatCode>
                <c:ptCount val="2"/>
                <c:pt idx="0">
                  <c:v>0</c:v>
                </c:pt>
                <c:pt idx="1">
                  <c:v>0</c:v>
                </c:pt>
              </c:numCache>
            </c:numRef>
          </c:yVal>
          <c:smooth val="0"/>
          <c:extLst>
            <c:ext xmlns:c16="http://schemas.microsoft.com/office/drawing/2014/chart" uri="{C3380CC4-5D6E-409C-BE32-E72D297353CC}">
              <c16:uniqueId val="{00000003-5477-4CB0-8DFC-88447AA90A73}"/>
            </c:ext>
          </c:extLst>
        </c:ser>
        <c:ser>
          <c:idx val="10"/>
          <c:order val="4"/>
          <c:tx>
            <c:v>Trend</c:v>
          </c:tx>
          <c:spPr>
            <a:ln w="12700">
              <a:solidFill>
                <a:srgbClr val="808080"/>
              </a:solidFill>
              <a:prstDash val="solid"/>
            </a:ln>
          </c:spPr>
          <c:marker>
            <c:symbol val="none"/>
          </c:marker>
          <c:xVal>
            <c:numRef>
              <c:f>Zink!$G$122:$G$123</c:f>
              <c:numCache>
                <c:formatCode>d/m/yyyy;@</c:formatCode>
                <c:ptCount val="2"/>
                <c:pt idx="0">
                  <c:v>0</c:v>
                </c:pt>
                <c:pt idx="1">
                  <c:v>0</c:v>
                </c:pt>
              </c:numCache>
            </c:numRef>
          </c:xVal>
          <c:yVal>
            <c:numRef>
              <c:f>Zink!$J$122:$J$123</c:f>
              <c:numCache>
                <c:formatCode>General</c:formatCode>
                <c:ptCount val="2"/>
                <c:pt idx="0">
                  <c:v>0</c:v>
                </c:pt>
                <c:pt idx="1">
                  <c:v>0</c:v>
                </c:pt>
              </c:numCache>
            </c:numRef>
          </c:yVal>
          <c:smooth val="0"/>
          <c:extLst>
            <c:ext xmlns:c16="http://schemas.microsoft.com/office/drawing/2014/chart" uri="{C3380CC4-5D6E-409C-BE32-E72D297353CC}">
              <c16:uniqueId val="{00000004-5477-4CB0-8DFC-88447AA90A73}"/>
            </c:ext>
          </c:extLst>
        </c:ser>
        <c:ser>
          <c:idx val="2"/>
          <c:order val="5"/>
          <c:tx>
            <c:v>Q95u</c:v>
          </c:tx>
          <c:spPr>
            <a:ln w="12700">
              <a:solidFill>
                <a:srgbClr val="0000FF"/>
              </a:solidFill>
              <a:prstDash val="sysDash"/>
            </a:ln>
          </c:spPr>
          <c:marker>
            <c:symbol val="none"/>
          </c:marker>
          <c:xVal>
            <c:numRef>
              <c:f>Zink!$E$57:$E$58</c:f>
              <c:numCache>
                <c:formatCode>m/d/yyyy</c:formatCode>
                <c:ptCount val="2"/>
                <c:pt idx="0">
                  <c:v>1</c:v>
                </c:pt>
                <c:pt idx="1">
                  <c:v>73415</c:v>
                </c:pt>
              </c:numCache>
            </c:numRef>
          </c:xVal>
          <c:yVal>
            <c:numRef>
              <c:f>Zink!$G$57:$G$58</c:f>
              <c:numCache>
                <c:formatCode>0.000</c:formatCode>
                <c:ptCount val="2"/>
                <c:pt idx="0">
                  <c:v>0</c:v>
                </c:pt>
                <c:pt idx="1">
                  <c:v>0</c:v>
                </c:pt>
              </c:numCache>
            </c:numRef>
          </c:yVal>
          <c:smooth val="0"/>
          <c:extLst>
            <c:ext xmlns:c16="http://schemas.microsoft.com/office/drawing/2014/chart" uri="{C3380CC4-5D6E-409C-BE32-E72D297353CC}">
              <c16:uniqueId val="{00000005-5477-4CB0-8DFC-88447AA90A73}"/>
            </c:ext>
          </c:extLst>
        </c:ser>
        <c:ser>
          <c:idx val="3"/>
          <c:order val="6"/>
          <c:tx>
            <c:v>Q98</c:v>
          </c:tx>
          <c:spPr>
            <a:ln w="12700">
              <a:solidFill>
                <a:srgbClr val="0000FF"/>
              </a:solidFill>
              <a:prstDash val="solid"/>
            </a:ln>
          </c:spPr>
          <c:marker>
            <c:symbol val="none"/>
          </c:marker>
          <c:xVal>
            <c:numRef>
              <c:f>Zink!$E$57:$E$58</c:f>
              <c:numCache>
                <c:formatCode>m/d/yyyy</c:formatCode>
                <c:ptCount val="2"/>
                <c:pt idx="0">
                  <c:v>1</c:v>
                </c:pt>
                <c:pt idx="1">
                  <c:v>73415</c:v>
                </c:pt>
              </c:numCache>
            </c:numRef>
          </c:xVal>
          <c:yVal>
            <c:numRef>
              <c:f>Zink!$H$57:$H$58</c:f>
              <c:numCache>
                <c:formatCode>0.000</c:formatCode>
                <c:ptCount val="2"/>
                <c:pt idx="0">
                  <c:v>0</c:v>
                </c:pt>
                <c:pt idx="1">
                  <c:v>0</c:v>
                </c:pt>
              </c:numCache>
            </c:numRef>
          </c:yVal>
          <c:smooth val="0"/>
          <c:extLst>
            <c:ext xmlns:c16="http://schemas.microsoft.com/office/drawing/2014/chart" uri="{C3380CC4-5D6E-409C-BE32-E72D297353CC}">
              <c16:uniqueId val="{00000006-5477-4CB0-8DFC-88447AA90A73}"/>
            </c:ext>
          </c:extLst>
        </c:ser>
        <c:ser>
          <c:idx val="6"/>
          <c:order val="7"/>
          <c:tx>
            <c:v>Q98Log</c:v>
          </c:tx>
          <c:spPr>
            <a:ln w="12700">
              <a:solidFill>
                <a:srgbClr val="CC00FF"/>
              </a:solidFill>
            </a:ln>
          </c:spPr>
          <c:marker>
            <c:symbol val="none"/>
          </c:marker>
          <c:xVal>
            <c:numRef>
              <c:f>Zink!$E$57:$E$58</c:f>
              <c:numCache>
                <c:formatCode>m/d/yyyy</c:formatCode>
                <c:ptCount val="2"/>
                <c:pt idx="0">
                  <c:v>1</c:v>
                </c:pt>
                <c:pt idx="1">
                  <c:v>73415</c:v>
                </c:pt>
              </c:numCache>
            </c:numRef>
          </c:xVal>
          <c:yVal>
            <c:numRef>
              <c:f>Zink!$K$57:$K$58</c:f>
              <c:numCache>
                <c:formatCode>0.000</c:formatCode>
                <c:ptCount val="2"/>
                <c:pt idx="0">
                  <c:v>0</c:v>
                </c:pt>
                <c:pt idx="1">
                  <c:v>0</c:v>
                </c:pt>
              </c:numCache>
            </c:numRef>
          </c:yVal>
          <c:smooth val="0"/>
          <c:extLst>
            <c:ext xmlns:c16="http://schemas.microsoft.com/office/drawing/2014/chart" uri="{C3380CC4-5D6E-409C-BE32-E72D297353CC}">
              <c16:uniqueId val="{00000007-5477-4CB0-8DFC-88447AA90A73}"/>
            </c:ext>
          </c:extLst>
        </c:ser>
        <c:dLbls>
          <c:showLegendKey val="0"/>
          <c:showVal val="0"/>
          <c:showCatName val="0"/>
          <c:showSerName val="0"/>
          <c:showPercent val="0"/>
          <c:showBubbleSize val="0"/>
        </c:dLbls>
        <c:axId val="158978816"/>
        <c:axId val="158980352"/>
      </c:scatterChart>
      <c:valAx>
        <c:axId val="158978816"/>
        <c:scaling>
          <c:orientation val="minMax"/>
          <c:max val="44196"/>
          <c:min val="32874"/>
        </c:scaling>
        <c:delete val="0"/>
        <c:axPos val="b"/>
        <c:numFmt formatCode="[$-407]mmm/\ yy;@" sourceLinked="0"/>
        <c:majorTickMark val="out"/>
        <c:minorTickMark val="in"/>
        <c:tickLblPos val="nextTo"/>
        <c:spPr>
          <a:ln w="3175">
            <a:solidFill>
              <a:srgbClr val="000000"/>
            </a:solidFill>
            <a:prstDash val="solid"/>
          </a:ln>
        </c:spPr>
        <c:txPr>
          <a:bodyPr rot="0" vert="horz"/>
          <a:lstStyle/>
          <a:p>
            <a:pPr>
              <a:defRPr sz="1100"/>
            </a:pPr>
            <a:endParaRPr lang="de-DE"/>
          </a:p>
        </c:txPr>
        <c:crossAx val="158980352"/>
        <c:crossesAt val="0"/>
        <c:crossBetween val="midCat"/>
        <c:majorUnit val="1461"/>
        <c:minorUnit val="365.25"/>
      </c:valAx>
      <c:valAx>
        <c:axId val="158980352"/>
        <c:scaling>
          <c:orientation val="minMax"/>
          <c:max val="1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8978816"/>
        <c:crossesAt val="0"/>
        <c:crossBetween val="midCat"/>
        <c:majorUnit val="20"/>
        <c:minorUnit val="10"/>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'frei 1'!$F$63:$F$113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1'!$G$63:$G$113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F94C-4570-9E20-D0FF6B0D478B}"/>
            </c:ext>
          </c:extLst>
        </c:ser>
        <c:ser>
          <c:idx val="1"/>
          <c:order val="1"/>
          <c:tx>
            <c:v>LogNormalverteilung</c:v>
          </c:tx>
          <c:spPr>
            <a:ln w="25400">
              <a:solidFill>
                <a:srgbClr val="FF00FF"/>
              </a:solidFill>
              <a:prstDash val="solid"/>
            </a:ln>
          </c:spPr>
          <c:marker>
            <c:symbol val="none"/>
          </c:marker>
          <c:xVal>
            <c:numRef>
              <c:f>'frei 1'!$I$63:$I$113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1'!$J$63:$J$113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F94C-4570-9E20-D0FF6B0D478B}"/>
            </c:ext>
          </c:extLst>
        </c:ser>
        <c:ser>
          <c:idx val="2"/>
          <c:order val="2"/>
          <c:tx>
            <c:v>Histogramm</c:v>
          </c:tx>
          <c:spPr>
            <a:ln w="25400">
              <a:solidFill>
                <a:srgbClr val="969696"/>
              </a:solidFill>
              <a:prstDash val="lgDashDot"/>
            </a:ln>
          </c:spPr>
          <c:marker>
            <c:symbol val="none"/>
          </c:marker>
          <c:xVal>
            <c:numRef>
              <c:f>'frei 1'!$T$46:$T$97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'frei 1'!$U$46:$U$97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F94C-4570-9E20-D0FF6B0D478B}"/>
            </c:ext>
          </c:extLst>
        </c:ser>
        <c:ser>
          <c:idx val="3"/>
          <c:order val="3"/>
          <c:tx>
            <c:v>Q95 No</c:v>
          </c:tx>
          <c:spPr>
            <a:ln w="12700">
              <a:solidFill>
                <a:srgbClr val="0000FF"/>
              </a:solidFill>
              <a:prstDash val="sysDash"/>
            </a:ln>
          </c:spPr>
          <c:marker>
            <c:symbol val="none"/>
          </c:marker>
          <c:xVal>
            <c:numRef>
              <c:f>'frei 1'!$U$3:$V$3</c:f>
              <c:numCache>
                <c:formatCode>0.000</c:formatCode>
                <c:ptCount val="2"/>
                <c:pt idx="0">
                  <c:v>0</c:v>
                </c:pt>
                <c:pt idx="1">
                  <c:v>0</c:v>
                </c:pt>
              </c:numCache>
            </c:numRef>
          </c:xVal>
          <c:yVal>
            <c:numRef>
              <c:f>'frei 1'!$U$2:$V$2</c:f>
              <c:numCache>
                <c:formatCode>General</c:formatCode>
                <c:ptCount val="2"/>
                <c:pt idx="0">
                  <c:v>0</c:v>
                </c:pt>
                <c:pt idx="1">
                  <c:v>1000</c:v>
                </c:pt>
              </c:numCache>
            </c:numRef>
          </c:yVal>
          <c:smooth val="0"/>
          <c:extLst>
            <c:ext xmlns:c16="http://schemas.microsoft.com/office/drawing/2014/chart" uri="{C3380CC4-5D6E-409C-BE32-E72D297353CC}">
              <c16:uniqueId val="{00000003-F94C-4570-9E20-D0FF6B0D478B}"/>
            </c:ext>
          </c:extLst>
        </c:ser>
        <c:ser>
          <c:idx val="4"/>
          <c:order val="4"/>
          <c:tx>
            <c:v>Q95 Lo</c:v>
          </c:tx>
          <c:spPr>
            <a:ln w="12700">
              <a:solidFill>
                <a:srgbClr val="FF00FF"/>
              </a:solidFill>
              <a:prstDash val="sysDash"/>
            </a:ln>
          </c:spPr>
          <c:marker>
            <c:symbol val="none"/>
          </c:marker>
          <c:xVal>
            <c:numRef>
              <c:f>'frei 1'!$U$4:$V$4</c:f>
              <c:numCache>
                <c:formatCode>0.000</c:formatCode>
                <c:ptCount val="2"/>
                <c:pt idx="0">
                  <c:v>0</c:v>
                </c:pt>
                <c:pt idx="1">
                  <c:v>0</c:v>
                </c:pt>
              </c:numCache>
            </c:numRef>
          </c:xVal>
          <c:yVal>
            <c:numRef>
              <c:f>'frei 1'!$U$2:$V$2</c:f>
              <c:numCache>
                <c:formatCode>General</c:formatCode>
                <c:ptCount val="2"/>
                <c:pt idx="0">
                  <c:v>0</c:v>
                </c:pt>
                <c:pt idx="1">
                  <c:v>1000</c:v>
                </c:pt>
              </c:numCache>
            </c:numRef>
          </c:yVal>
          <c:smooth val="0"/>
          <c:extLst>
            <c:ext xmlns:c16="http://schemas.microsoft.com/office/drawing/2014/chart" uri="{C3380CC4-5D6E-409C-BE32-E72D297353CC}">
              <c16:uniqueId val="{00000004-F94C-4570-9E20-D0FF6B0D478B}"/>
            </c:ext>
          </c:extLst>
        </c:ser>
        <c:ser>
          <c:idx val="5"/>
          <c:order val="5"/>
          <c:tx>
            <c:v>Q98 No</c:v>
          </c:tx>
          <c:spPr>
            <a:ln w="12700">
              <a:solidFill>
                <a:srgbClr val="0000FF"/>
              </a:solidFill>
              <a:prstDash val="solid"/>
            </a:ln>
          </c:spPr>
          <c:marker>
            <c:symbol val="none"/>
          </c:marker>
          <c:xVal>
            <c:numRef>
              <c:f>'frei 1'!$U$5:$V$5</c:f>
              <c:numCache>
                <c:formatCode>0.000</c:formatCode>
                <c:ptCount val="2"/>
                <c:pt idx="0">
                  <c:v>0</c:v>
                </c:pt>
                <c:pt idx="1">
                  <c:v>0</c:v>
                </c:pt>
              </c:numCache>
            </c:numRef>
          </c:xVal>
          <c:yVal>
            <c:numRef>
              <c:f>'frei 1'!$U$2:$V$2</c:f>
              <c:numCache>
                <c:formatCode>General</c:formatCode>
                <c:ptCount val="2"/>
                <c:pt idx="0">
                  <c:v>0</c:v>
                </c:pt>
                <c:pt idx="1">
                  <c:v>1000</c:v>
                </c:pt>
              </c:numCache>
            </c:numRef>
          </c:yVal>
          <c:smooth val="0"/>
          <c:extLst>
            <c:ext xmlns:c16="http://schemas.microsoft.com/office/drawing/2014/chart" uri="{C3380CC4-5D6E-409C-BE32-E72D297353CC}">
              <c16:uniqueId val="{00000005-F94C-4570-9E20-D0FF6B0D478B}"/>
            </c:ext>
          </c:extLst>
        </c:ser>
        <c:ser>
          <c:idx val="6"/>
          <c:order val="6"/>
          <c:tx>
            <c:v>Q98 Lo</c:v>
          </c:tx>
          <c:spPr>
            <a:ln w="12700">
              <a:solidFill>
                <a:srgbClr val="FF00FF"/>
              </a:solidFill>
              <a:prstDash val="solid"/>
            </a:ln>
          </c:spPr>
          <c:marker>
            <c:symbol val="none"/>
          </c:marker>
          <c:xVal>
            <c:numRef>
              <c:f>'frei 1'!$U$6:$V$6</c:f>
              <c:numCache>
                <c:formatCode>0.000</c:formatCode>
                <c:ptCount val="2"/>
                <c:pt idx="0">
                  <c:v>0</c:v>
                </c:pt>
                <c:pt idx="1">
                  <c:v>0</c:v>
                </c:pt>
              </c:numCache>
            </c:numRef>
          </c:xVal>
          <c:yVal>
            <c:numRef>
              <c:f>'frei 1'!$U$2:$V$2</c:f>
              <c:numCache>
                <c:formatCode>General</c:formatCode>
                <c:ptCount val="2"/>
                <c:pt idx="0">
                  <c:v>0</c:v>
                </c:pt>
                <c:pt idx="1">
                  <c:v>1000</c:v>
                </c:pt>
              </c:numCache>
            </c:numRef>
          </c:yVal>
          <c:smooth val="0"/>
          <c:extLst>
            <c:ext xmlns:c16="http://schemas.microsoft.com/office/drawing/2014/chart" uri="{C3380CC4-5D6E-409C-BE32-E72D297353CC}">
              <c16:uniqueId val="{00000006-F94C-4570-9E20-D0FF6B0D478B}"/>
            </c:ext>
          </c:extLst>
        </c:ser>
        <c:ser>
          <c:idx val="7"/>
          <c:order val="7"/>
          <c:tx>
            <c:v>Q95u</c:v>
          </c:tx>
          <c:spPr>
            <a:ln w="12700">
              <a:solidFill>
                <a:srgbClr val="0000FF"/>
              </a:solidFill>
              <a:prstDash val="sysDash"/>
            </a:ln>
          </c:spPr>
          <c:marker>
            <c:symbol val="none"/>
          </c:marker>
          <c:xVal>
            <c:numRef>
              <c:f>'frei 1'!$U$7:$V$7</c:f>
              <c:numCache>
                <c:formatCode>0.000</c:formatCode>
                <c:ptCount val="2"/>
                <c:pt idx="0">
                  <c:v>0</c:v>
                </c:pt>
                <c:pt idx="1">
                  <c:v>0</c:v>
                </c:pt>
              </c:numCache>
            </c:numRef>
          </c:xVal>
          <c:yVal>
            <c:numRef>
              <c:f>'frei 1'!$U$2:$V$2</c:f>
              <c:numCache>
                <c:formatCode>General</c:formatCode>
                <c:ptCount val="2"/>
                <c:pt idx="0">
                  <c:v>0</c:v>
                </c:pt>
                <c:pt idx="1">
                  <c:v>1000</c:v>
                </c:pt>
              </c:numCache>
            </c:numRef>
          </c:yVal>
          <c:smooth val="0"/>
          <c:extLst>
            <c:ext xmlns:c16="http://schemas.microsoft.com/office/drawing/2014/chart" uri="{C3380CC4-5D6E-409C-BE32-E72D297353CC}">
              <c16:uniqueId val="{00000007-F94C-4570-9E20-D0FF6B0D478B}"/>
            </c:ext>
          </c:extLst>
        </c:ser>
        <c:ser>
          <c:idx val="8"/>
          <c:order val="8"/>
          <c:tx>
            <c:v>Q95u Lo</c:v>
          </c:tx>
          <c:spPr>
            <a:ln w="12700">
              <a:solidFill>
                <a:srgbClr val="FF00FF"/>
              </a:solidFill>
              <a:prstDash val="sysDash"/>
            </a:ln>
          </c:spPr>
          <c:marker>
            <c:symbol val="none"/>
          </c:marker>
          <c:xVal>
            <c:numRef>
              <c:f>'frei 1'!$U$8:$V$8</c:f>
              <c:numCache>
                <c:formatCode>0.000</c:formatCode>
                <c:ptCount val="2"/>
                <c:pt idx="0">
                  <c:v>0</c:v>
                </c:pt>
                <c:pt idx="1">
                  <c:v>0</c:v>
                </c:pt>
              </c:numCache>
            </c:numRef>
          </c:xVal>
          <c:yVal>
            <c:numRef>
              <c:f>'frei 1'!$U$2:$V$2</c:f>
              <c:numCache>
                <c:formatCode>General</c:formatCode>
                <c:ptCount val="2"/>
                <c:pt idx="0">
                  <c:v>0</c:v>
                </c:pt>
                <c:pt idx="1">
                  <c:v>1000</c:v>
                </c:pt>
              </c:numCache>
            </c:numRef>
          </c:yVal>
          <c:smooth val="0"/>
          <c:extLst>
            <c:ext xmlns:c16="http://schemas.microsoft.com/office/drawing/2014/chart" uri="{C3380CC4-5D6E-409C-BE32-E72D297353CC}">
              <c16:uniqueId val="{00000008-F94C-4570-9E20-D0FF6B0D478B}"/>
            </c:ext>
          </c:extLst>
        </c:ser>
        <c:ser>
          <c:idx val="9"/>
          <c:order val="9"/>
          <c:tx>
            <c:v>Median</c:v>
          </c:tx>
          <c:spPr>
            <a:ln w="12700">
              <a:solidFill>
                <a:srgbClr val="969696"/>
              </a:solidFill>
              <a:prstDash val="lgDashDotDot"/>
            </a:ln>
          </c:spPr>
          <c:marker>
            <c:symbol val="none"/>
          </c:marker>
          <c:xVal>
            <c:numRef>
              <c:f>'frei 1'!$U$11:$V$11</c:f>
              <c:numCache>
                <c:formatCode>0.000</c:formatCode>
                <c:ptCount val="2"/>
                <c:pt idx="0">
                  <c:v>0</c:v>
                </c:pt>
                <c:pt idx="1">
                  <c:v>0</c:v>
                </c:pt>
              </c:numCache>
            </c:numRef>
          </c:xVal>
          <c:yVal>
            <c:numRef>
              <c:f>'frei 1'!$U$2:$V$2</c:f>
              <c:numCache>
                <c:formatCode>General</c:formatCode>
                <c:ptCount val="2"/>
                <c:pt idx="0">
                  <c:v>0</c:v>
                </c:pt>
                <c:pt idx="1">
                  <c:v>1000</c:v>
                </c:pt>
              </c:numCache>
            </c:numRef>
          </c:yVal>
          <c:smooth val="0"/>
          <c:extLst>
            <c:ext xmlns:c16="http://schemas.microsoft.com/office/drawing/2014/chart" uri="{C3380CC4-5D6E-409C-BE32-E72D297353CC}">
              <c16:uniqueId val="{00000009-F94C-4570-9E20-D0FF6B0D478B}"/>
            </c:ext>
          </c:extLst>
        </c:ser>
        <c:dLbls>
          <c:showLegendKey val="0"/>
          <c:showVal val="0"/>
          <c:showCatName val="0"/>
          <c:showSerName val="0"/>
          <c:showPercent val="0"/>
          <c:showBubbleSize val="0"/>
        </c:dLbls>
        <c:axId val="159137792"/>
        <c:axId val="159139328"/>
      </c:scatterChart>
      <c:valAx>
        <c:axId val="159137792"/>
        <c:scaling>
          <c:orientation val="minMax"/>
          <c:max val="1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9139328"/>
        <c:crosses val="autoZero"/>
        <c:crossBetween val="midCat"/>
        <c:majorUnit val="20"/>
        <c:minorUnit val="5"/>
      </c:valAx>
      <c:valAx>
        <c:axId val="159139328"/>
        <c:scaling>
          <c:orientation val="minMax"/>
          <c:max val="0.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9137792"/>
        <c:crosses val="autoZero"/>
        <c:crossBetween val="midCat"/>
        <c:majorUnit val="5.000000000000001E-2"/>
        <c:minorUnit val="1.0000000000000002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'frei 1'!$M$3:$M$252</c:f>
              <c:numCache>
                <c:formatCode>d/m/yyyy;@</c:formatCode>
                <c:ptCount val="250"/>
              </c:numCache>
            </c:numRef>
          </c:xVal>
          <c:yVal>
            <c:numRef>
              <c:f>'frei 1'!$N$3:$N$252</c:f>
              <c:numCache>
                <c:formatCode>General</c:formatCode>
                <c:ptCount val="250"/>
              </c:numCache>
            </c:numRef>
          </c:yVal>
          <c:smooth val="0"/>
          <c:extLst>
            <c:ext xmlns:c16="http://schemas.microsoft.com/office/drawing/2014/chart" uri="{C3380CC4-5D6E-409C-BE32-E72D297353CC}">
              <c16:uniqueId val="{00000000-A06D-49E6-86A5-FC881F543E5A}"/>
            </c:ext>
          </c:extLst>
        </c:ser>
        <c:ser>
          <c:idx val="1"/>
          <c:order val="1"/>
          <c:tx>
            <c:v>Q95</c:v>
          </c:tx>
          <c:spPr>
            <a:ln w="12700">
              <a:solidFill>
                <a:srgbClr val="0000FF"/>
              </a:solidFill>
              <a:prstDash val="sysDash"/>
            </a:ln>
          </c:spPr>
          <c:marker>
            <c:symbol val="none"/>
          </c:marker>
          <c:xVal>
            <c:numRef>
              <c:f>'frei 1'!$E$57:$E$58</c:f>
              <c:numCache>
                <c:formatCode>m/d/yyyy</c:formatCode>
                <c:ptCount val="2"/>
                <c:pt idx="0">
                  <c:v>1</c:v>
                </c:pt>
                <c:pt idx="1">
                  <c:v>73415</c:v>
                </c:pt>
              </c:numCache>
            </c:numRef>
          </c:xVal>
          <c:yVal>
            <c:numRef>
              <c:f>'frei 1'!$F$57:$F$58</c:f>
              <c:numCache>
                <c:formatCode>0.000</c:formatCode>
                <c:ptCount val="2"/>
                <c:pt idx="0">
                  <c:v>0</c:v>
                </c:pt>
                <c:pt idx="1">
                  <c:v>0</c:v>
                </c:pt>
              </c:numCache>
            </c:numRef>
          </c:yVal>
          <c:smooth val="0"/>
          <c:extLst>
            <c:ext xmlns:c16="http://schemas.microsoft.com/office/drawing/2014/chart" uri="{C3380CC4-5D6E-409C-BE32-E72D297353CC}">
              <c16:uniqueId val="{00000001-A06D-49E6-86A5-FC881F543E5A}"/>
            </c:ext>
          </c:extLst>
        </c:ser>
        <c:ser>
          <c:idx val="4"/>
          <c:order val="2"/>
          <c:tx>
            <c:v>Q95Log</c:v>
          </c:tx>
          <c:spPr>
            <a:ln w="12700">
              <a:solidFill>
                <a:srgbClr val="FF00FF"/>
              </a:solidFill>
              <a:prstDash val="sysDash"/>
            </a:ln>
          </c:spPr>
          <c:marker>
            <c:symbol val="none"/>
          </c:marker>
          <c:xVal>
            <c:numRef>
              <c:f>'frei 1'!$E$57:$E$58</c:f>
              <c:numCache>
                <c:formatCode>m/d/yyyy</c:formatCode>
                <c:ptCount val="2"/>
                <c:pt idx="0">
                  <c:v>1</c:v>
                </c:pt>
                <c:pt idx="1">
                  <c:v>73415</c:v>
                </c:pt>
              </c:numCache>
            </c:numRef>
          </c:xVal>
          <c:yVal>
            <c:numRef>
              <c:f>'frei 1'!$J$57:$J$58</c:f>
              <c:numCache>
                <c:formatCode>0.000</c:formatCode>
                <c:ptCount val="2"/>
                <c:pt idx="0">
                  <c:v>0</c:v>
                </c:pt>
                <c:pt idx="1">
                  <c:v>0</c:v>
                </c:pt>
              </c:numCache>
            </c:numRef>
          </c:yVal>
          <c:smooth val="0"/>
          <c:extLst>
            <c:ext xmlns:c16="http://schemas.microsoft.com/office/drawing/2014/chart" uri="{C3380CC4-5D6E-409C-BE32-E72D297353CC}">
              <c16:uniqueId val="{00000002-A06D-49E6-86A5-FC881F543E5A}"/>
            </c:ext>
          </c:extLst>
        </c:ser>
        <c:ser>
          <c:idx val="9"/>
          <c:order val="3"/>
          <c:tx>
            <c:v>vT</c:v>
          </c:tx>
          <c:spPr>
            <a:ln w="12700">
              <a:solidFill>
                <a:srgbClr val="808080"/>
              </a:solidFill>
              <a:prstDash val="sysDash"/>
            </a:ln>
          </c:spPr>
          <c:marker>
            <c:symbol val="none"/>
          </c:marker>
          <c:xVal>
            <c:numRef>
              <c:f>'frei 1'!$G$122:$G$123</c:f>
              <c:numCache>
                <c:formatCode>d/m/yyyy;@</c:formatCode>
                <c:ptCount val="2"/>
                <c:pt idx="0">
                  <c:v>0</c:v>
                </c:pt>
                <c:pt idx="1">
                  <c:v>0</c:v>
                </c:pt>
              </c:numCache>
            </c:numRef>
          </c:xVal>
          <c:yVal>
            <c:numRef>
              <c:f>'frei 1'!$I$122:$I$123</c:f>
              <c:numCache>
                <c:formatCode>General</c:formatCode>
                <c:ptCount val="2"/>
                <c:pt idx="0">
                  <c:v>0</c:v>
                </c:pt>
                <c:pt idx="1">
                  <c:v>0</c:v>
                </c:pt>
              </c:numCache>
            </c:numRef>
          </c:yVal>
          <c:smooth val="0"/>
          <c:extLst>
            <c:ext xmlns:c16="http://schemas.microsoft.com/office/drawing/2014/chart" uri="{C3380CC4-5D6E-409C-BE32-E72D297353CC}">
              <c16:uniqueId val="{00000003-A06D-49E6-86A5-FC881F543E5A}"/>
            </c:ext>
          </c:extLst>
        </c:ser>
        <c:ser>
          <c:idx val="10"/>
          <c:order val="4"/>
          <c:tx>
            <c:v>Trend</c:v>
          </c:tx>
          <c:spPr>
            <a:ln w="12700">
              <a:solidFill>
                <a:srgbClr val="808080"/>
              </a:solidFill>
              <a:prstDash val="solid"/>
            </a:ln>
          </c:spPr>
          <c:marker>
            <c:symbol val="none"/>
          </c:marker>
          <c:xVal>
            <c:numRef>
              <c:f>'frei 1'!$G$122:$G$123</c:f>
              <c:numCache>
                <c:formatCode>d/m/yyyy;@</c:formatCode>
                <c:ptCount val="2"/>
                <c:pt idx="0">
                  <c:v>0</c:v>
                </c:pt>
                <c:pt idx="1">
                  <c:v>0</c:v>
                </c:pt>
              </c:numCache>
            </c:numRef>
          </c:xVal>
          <c:yVal>
            <c:numRef>
              <c:f>'frei 1'!$J$122:$J$123</c:f>
              <c:numCache>
                <c:formatCode>General</c:formatCode>
                <c:ptCount val="2"/>
                <c:pt idx="0">
                  <c:v>0</c:v>
                </c:pt>
                <c:pt idx="1">
                  <c:v>0</c:v>
                </c:pt>
              </c:numCache>
            </c:numRef>
          </c:yVal>
          <c:smooth val="0"/>
          <c:extLst>
            <c:ext xmlns:c16="http://schemas.microsoft.com/office/drawing/2014/chart" uri="{C3380CC4-5D6E-409C-BE32-E72D297353CC}">
              <c16:uniqueId val="{00000004-A06D-49E6-86A5-FC881F543E5A}"/>
            </c:ext>
          </c:extLst>
        </c:ser>
        <c:ser>
          <c:idx val="2"/>
          <c:order val="5"/>
          <c:tx>
            <c:v>Q95u</c:v>
          </c:tx>
          <c:spPr>
            <a:ln w="12700">
              <a:solidFill>
                <a:srgbClr val="0000FF"/>
              </a:solidFill>
              <a:prstDash val="sysDash"/>
            </a:ln>
          </c:spPr>
          <c:marker>
            <c:symbol val="none"/>
          </c:marker>
          <c:xVal>
            <c:numRef>
              <c:f>'frei 1'!$E$57:$E$58</c:f>
              <c:numCache>
                <c:formatCode>m/d/yyyy</c:formatCode>
                <c:ptCount val="2"/>
                <c:pt idx="0">
                  <c:v>1</c:v>
                </c:pt>
                <c:pt idx="1">
                  <c:v>73415</c:v>
                </c:pt>
              </c:numCache>
            </c:numRef>
          </c:xVal>
          <c:yVal>
            <c:numRef>
              <c:f>'frei 1'!$G$57:$G$58</c:f>
              <c:numCache>
                <c:formatCode>0.000</c:formatCode>
                <c:ptCount val="2"/>
                <c:pt idx="0">
                  <c:v>0</c:v>
                </c:pt>
                <c:pt idx="1">
                  <c:v>0</c:v>
                </c:pt>
              </c:numCache>
            </c:numRef>
          </c:yVal>
          <c:smooth val="0"/>
          <c:extLst>
            <c:ext xmlns:c16="http://schemas.microsoft.com/office/drawing/2014/chart" uri="{C3380CC4-5D6E-409C-BE32-E72D297353CC}">
              <c16:uniqueId val="{00000005-A06D-49E6-86A5-FC881F543E5A}"/>
            </c:ext>
          </c:extLst>
        </c:ser>
        <c:ser>
          <c:idx val="3"/>
          <c:order val="6"/>
          <c:tx>
            <c:v>Q98</c:v>
          </c:tx>
          <c:spPr>
            <a:ln w="12700">
              <a:solidFill>
                <a:srgbClr val="0000FF"/>
              </a:solidFill>
              <a:prstDash val="solid"/>
            </a:ln>
          </c:spPr>
          <c:marker>
            <c:symbol val="none"/>
          </c:marker>
          <c:xVal>
            <c:numRef>
              <c:f>'frei 1'!$E$57:$E$58</c:f>
              <c:numCache>
                <c:formatCode>m/d/yyyy</c:formatCode>
                <c:ptCount val="2"/>
                <c:pt idx="0">
                  <c:v>1</c:v>
                </c:pt>
                <c:pt idx="1">
                  <c:v>73415</c:v>
                </c:pt>
              </c:numCache>
            </c:numRef>
          </c:xVal>
          <c:yVal>
            <c:numRef>
              <c:f>'frei 1'!$H$57:$H$58</c:f>
              <c:numCache>
                <c:formatCode>0.000</c:formatCode>
                <c:ptCount val="2"/>
                <c:pt idx="0">
                  <c:v>0</c:v>
                </c:pt>
                <c:pt idx="1">
                  <c:v>0</c:v>
                </c:pt>
              </c:numCache>
            </c:numRef>
          </c:yVal>
          <c:smooth val="0"/>
          <c:extLst>
            <c:ext xmlns:c16="http://schemas.microsoft.com/office/drawing/2014/chart" uri="{C3380CC4-5D6E-409C-BE32-E72D297353CC}">
              <c16:uniqueId val="{00000006-A06D-49E6-86A5-FC881F543E5A}"/>
            </c:ext>
          </c:extLst>
        </c:ser>
        <c:ser>
          <c:idx val="6"/>
          <c:order val="7"/>
          <c:tx>
            <c:v>Q98Log</c:v>
          </c:tx>
          <c:spPr>
            <a:ln w="12700">
              <a:solidFill>
                <a:srgbClr val="CC00FF"/>
              </a:solidFill>
            </a:ln>
          </c:spPr>
          <c:marker>
            <c:symbol val="none"/>
          </c:marker>
          <c:xVal>
            <c:numRef>
              <c:f>'frei 1'!$E$57:$E$58</c:f>
              <c:numCache>
                <c:formatCode>m/d/yyyy</c:formatCode>
                <c:ptCount val="2"/>
                <c:pt idx="0">
                  <c:v>1</c:v>
                </c:pt>
                <c:pt idx="1">
                  <c:v>73415</c:v>
                </c:pt>
              </c:numCache>
            </c:numRef>
          </c:xVal>
          <c:yVal>
            <c:numRef>
              <c:f>'frei 1'!$K$57:$K$58</c:f>
              <c:numCache>
                <c:formatCode>0.000</c:formatCode>
                <c:ptCount val="2"/>
                <c:pt idx="0">
                  <c:v>0</c:v>
                </c:pt>
                <c:pt idx="1">
                  <c:v>0</c:v>
                </c:pt>
              </c:numCache>
            </c:numRef>
          </c:yVal>
          <c:smooth val="0"/>
          <c:extLst>
            <c:ext xmlns:c16="http://schemas.microsoft.com/office/drawing/2014/chart" uri="{C3380CC4-5D6E-409C-BE32-E72D297353CC}">
              <c16:uniqueId val="{00000007-A06D-49E6-86A5-FC881F543E5A}"/>
            </c:ext>
          </c:extLst>
        </c:ser>
        <c:dLbls>
          <c:showLegendKey val="0"/>
          <c:showVal val="0"/>
          <c:showCatName val="0"/>
          <c:showSerName val="0"/>
          <c:showPercent val="0"/>
          <c:showBubbleSize val="0"/>
        </c:dLbls>
        <c:axId val="159324416"/>
        <c:axId val="159338496"/>
      </c:scatterChart>
      <c:valAx>
        <c:axId val="159324416"/>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9338496"/>
        <c:crossesAt val="0"/>
        <c:crossBetween val="midCat"/>
        <c:majorUnit val="1461"/>
        <c:minorUnit val="365.25"/>
      </c:valAx>
      <c:valAx>
        <c:axId val="159338496"/>
        <c:scaling>
          <c:orientation val="minMax"/>
          <c:max val="1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9324416"/>
        <c:crossesAt val="0"/>
        <c:crossBetween val="midCat"/>
        <c:majorUnit val="20"/>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'frei 2'!$F$63:$F$113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2'!$G$63:$G$113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CDD2-45AF-A258-8FC56986AECB}"/>
            </c:ext>
          </c:extLst>
        </c:ser>
        <c:ser>
          <c:idx val="1"/>
          <c:order val="1"/>
          <c:tx>
            <c:v>LogNormalverteilung</c:v>
          </c:tx>
          <c:spPr>
            <a:ln w="25400">
              <a:solidFill>
                <a:srgbClr val="FF00FF"/>
              </a:solidFill>
              <a:prstDash val="solid"/>
            </a:ln>
          </c:spPr>
          <c:marker>
            <c:symbol val="none"/>
          </c:marker>
          <c:xVal>
            <c:numRef>
              <c:f>'frei 2'!$I$63:$I$113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2'!$J$63:$J$113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CDD2-45AF-A258-8FC56986AECB}"/>
            </c:ext>
          </c:extLst>
        </c:ser>
        <c:ser>
          <c:idx val="2"/>
          <c:order val="2"/>
          <c:tx>
            <c:v>Histogramm</c:v>
          </c:tx>
          <c:spPr>
            <a:ln w="25400">
              <a:solidFill>
                <a:srgbClr val="969696"/>
              </a:solidFill>
              <a:prstDash val="lgDashDot"/>
            </a:ln>
          </c:spPr>
          <c:marker>
            <c:symbol val="none"/>
          </c:marker>
          <c:xVal>
            <c:numRef>
              <c:f>'frei 2'!$T$46:$T$97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'frei 2'!$U$46:$U$97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CDD2-45AF-A258-8FC56986AECB}"/>
            </c:ext>
          </c:extLst>
        </c:ser>
        <c:ser>
          <c:idx val="3"/>
          <c:order val="3"/>
          <c:tx>
            <c:v>Q95 No</c:v>
          </c:tx>
          <c:spPr>
            <a:ln w="12700">
              <a:solidFill>
                <a:srgbClr val="0000FF"/>
              </a:solidFill>
              <a:prstDash val="sysDash"/>
            </a:ln>
          </c:spPr>
          <c:marker>
            <c:symbol val="none"/>
          </c:marker>
          <c:xVal>
            <c:numRef>
              <c:f>'frei 2'!$U$3:$V$3</c:f>
              <c:numCache>
                <c:formatCode>0.000</c:formatCode>
                <c:ptCount val="2"/>
                <c:pt idx="0">
                  <c:v>0</c:v>
                </c:pt>
                <c:pt idx="1">
                  <c:v>0</c:v>
                </c:pt>
              </c:numCache>
            </c:numRef>
          </c:xVal>
          <c:yVal>
            <c:numRef>
              <c:f>'frei 2'!$U$2:$V$2</c:f>
              <c:numCache>
                <c:formatCode>General</c:formatCode>
                <c:ptCount val="2"/>
                <c:pt idx="0">
                  <c:v>0</c:v>
                </c:pt>
                <c:pt idx="1">
                  <c:v>1000</c:v>
                </c:pt>
              </c:numCache>
            </c:numRef>
          </c:yVal>
          <c:smooth val="0"/>
          <c:extLst>
            <c:ext xmlns:c16="http://schemas.microsoft.com/office/drawing/2014/chart" uri="{C3380CC4-5D6E-409C-BE32-E72D297353CC}">
              <c16:uniqueId val="{00000003-CDD2-45AF-A258-8FC56986AECB}"/>
            </c:ext>
          </c:extLst>
        </c:ser>
        <c:ser>
          <c:idx val="4"/>
          <c:order val="4"/>
          <c:tx>
            <c:v>Q95 Lo</c:v>
          </c:tx>
          <c:spPr>
            <a:ln w="12700">
              <a:solidFill>
                <a:srgbClr val="FF00FF"/>
              </a:solidFill>
              <a:prstDash val="sysDash"/>
            </a:ln>
          </c:spPr>
          <c:marker>
            <c:symbol val="none"/>
          </c:marker>
          <c:xVal>
            <c:numRef>
              <c:f>'frei 2'!$U$4:$V$4</c:f>
              <c:numCache>
                <c:formatCode>0.000</c:formatCode>
                <c:ptCount val="2"/>
                <c:pt idx="0">
                  <c:v>0</c:v>
                </c:pt>
                <c:pt idx="1">
                  <c:v>0</c:v>
                </c:pt>
              </c:numCache>
            </c:numRef>
          </c:xVal>
          <c:yVal>
            <c:numRef>
              <c:f>'frei 2'!$U$2:$V$2</c:f>
              <c:numCache>
                <c:formatCode>General</c:formatCode>
                <c:ptCount val="2"/>
                <c:pt idx="0">
                  <c:v>0</c:v>
                </c:pt>
                <c:pt idx="1">
                  <c:v>1000</c:v>
                </c:pt>
              </c:numCache>
            </c:numRef>
          </c:yVal>
          <c:smooth val="0"/>
          <c:extLst>
            <c:ext xmlns:c16="http://schemas.microsoft.com/office/drawing/2014/chart" uri="{C3380CC4-5D6E-409C-BE32-E72D297353CC}">
              <c16:uniqueId val="{00000004-CDD2-45AF-A258-8FC56986AECB}"/>
            </c:ext>
          </c:extLst>
        </c:ser>
        <c:ser>
          <c:idx val="5"/>
          <c:order val="5"/>
          <c:tx>
            <c:v>Q98 No</c:v>
          </c:tx>
          <c:spPr>
            <a:ln w="12700">
              <a:solidFill>
                <a:srgbClr val="0000FF"/>
              </a:solidFill>
              <a:prstDash val="solid"/>
            </a:ln>
          </c:spPr>
          <c:marker>
            <c:symbol val="none"/>
          </c:marker>
          <c:xVal>
            <c:numRef>
              <c:f>'frei 2'!$U$5:$V$5</c:f>
              <c:numCache>
                <c:formatCode>0.000</c:formatCode>
                <c:ptCount val="2"/>
                <c:pt idx="0">
                  <c:v>0</c:v>
                </c:pt>
                <c:pt idx="1">
                  <c:v>0</c:v>
                </c:pt>
              </c:numCache>
            </c:numRef>
          </c:xVal>
          <c:yVal>
            <c:numRef>
              <c:f>'frei 2'!$U$2:$V$2</c:f>
              <c:numCache>
                <c:formatCode>General</c:formatCode>
                <c:ptCount val="2"/>
                <c:pt idx="0">
                  <c:v>0</c:v>
                </c:pt>
                <c:pt idx="1">
                  <c:v>1000</c:v>
                </c:pt>
              </c:numCache>
            </c:numRef>
          </c:yVal>
          <c:smooth val="0"/>
          <c:extLst>
            <c:ext xmlns:c16="http://schemas.microsoft.com/office/drawing/2014/chart" uri="{C3380CC4-5D6E-409C-BE32-E72D297353CC}">
              <c16:uniqueId val="{00000005-CDD2-45AF-A258-8FC56986AECB}"/>
            </c:ext>
          </c:extLst>
        </c:ser>
        <c:ser>
          <c:idx val="6"/>
          <c:order val="6"/>
          <c:tx>
            <c:v>Q98 Lo</c:v>
          </c:tx>
          <c:spPr>
            <a:ln w="12700">
              <a:solidFill>
                <a:srgbClr val="FF00FF"/>
              </a:solidFill>
              <a:prstDash val="solid"/>
            </a:ln>
          </c:spPr>
          <c:marker>
            <c:symbol val="none"/>
          </c:marker>
          <c:xVal>
            <c:numRef>
              <c:f>'frei 2'!$U$6:$V$6</c:f>
              <c:numCache>
                <c:formatCode>0.000</c:formatCode>
                <c:ptCount val="2"/>
                <c:pt idx="0">
                  <c:v>0</c:v>
                </c:pt>
                <c:pt idx="1">
                  <c:v>0</c:v>
                </c:pt>
              </c:numCache>
            </c:numRef>
          </c:xVal>
          <c:yVal>
            <c:numRef>
              <c:f>'frei 2'!$U$2:$V$2</c:f>
              <c:numCache>
                <c:formatCode>General</c:formatCode>
                <c:ptCount val="2"/>
                <c:pt idx="0">
                  <c:v>0</c:v>
                </c:pt>
                <c:pt idx="1">
                  <c:v>1000</c:v>
                </c:pt>
              </c:numCache>
            </c:numRef>
          </c:yVal>
          <c:smooth val="0"/>
          <c:extLst>
            <c:ext xmlns:c16="http://schemas.microsoft.com/office/drawing/2014/chart" uri="{C3380CC4-5D6E-409C-BE32-E72D297353CC}">
              <c16:uniqueId val="{00000006-CDD2-45AF-A258-8FC56986AECB}"/>
            </c:ext>
          </c:extLst>
        </c:ser>
        <c:ser>
          <c:idx val="7"/>
          <c:order val="7"/>
          <c:tx>
            <c:v>Q95u</c:v>
          </c:tx>
          <c:spPr>
            <a:ln w="12700">
              <a:solidFill>
                <a:srgbClr val="0000FF"/>
              </a:solidFill>
              <a:prstDash val="sysDash"/>
            </a:ln>
          </c:spPr>
          <c:marker>
            <c:symbol val="none"/>
          </c:marker>
          <c:xVal>
            <c:numRef>
              <c:f>'frei 2'!$U$7:$V$7</c:f>
              <c:numCache>
                <c:formatCode>0.000</c:formatCode>
                <c:ptCount val="2"/>
                <c:pt idx="0">
                  <c:v>0</c:v>
                </c:pt>
                <c:pt idx="1">
                  <c:v>0</c:v>
                </c:pt>
              </c:numCache>
            </c:numRef>
          </c:xVal>
          <c:yVal>
            <c:numRef>
              <c:f>'frei 2'!$U$2:$V$2</c:f>
              <c:numCache>
                <c:formatCode>General</c:formatCode>
                <c:ptCount val="2"/>
                <c:pt idx="0">
                  <c:v>0</c:v>
                </c:pt>
                <c:pt idx="1">
                  <c:v>1000</c:v>
                </c:pt>
              </c:numCache>
            </c:numRef>
          </c:yVal>
          <c:smooth val="0"/>
          <c:extLst>
            <c:ext xmlns:c16="http://schemas.microsoft.com/office/drawing/2014/chart" uri="{C3380CC4-5D6E-409C-BE32-E72D297353CC}">
              <c16:uniqueId val="{00000007-CDD2-45AF-A258-8FC56986AECB}"/>
            </c:ext>
          </c:extLst>
        </c:ser>
        <c:ser>
          <c:idx val="8"/>
          <c:order val="8"/>
          <c:tx>
            <c:v>Q95u Lo</c:v>
          </c:tx>
          <c:spPr>
            <a:ln w="12700">
              <a:solidFill>
                <a:srgbClr val="FF00FF"/>
              </a:solidFill>
              <a:prstDash val="sysDash"/>
            </a:ln>
          </c:spPr>
          <c:marker>
            <c:symbol val="none"/>
          </c:marker>
          <c:xVal>
            <c:numRef>
              <c:f>'frei 2'!$U$8:$V$8</c:f>
              <c:numCache>
                <c:formatCode>0.000</c:formatCode>
                <c:ptCount val="2"/>
                <c:pt idx="0">
                  <c:v>0</c:v>
                </c:pt>
                <c:pt idx="1">
                  <c:v>0</c:v>
                </c:pt>
              </c:numCache>
            </c:numRef>
          </c:xVal>
          <c:yVal>
            <c:numRef>
              <c:f>'frei 2'!$U$2:$V$2</c:f>
              <c:numCache>
                <c:formatCode>General</c:formatCode>
                <c:ptCount val="2"/>
                <c:pt idx="0">
                  <c:v>0</c:v>
                </c:pt>
                <c:pt idx="1">
                  <c:v>1000</c:v>
                </c:pt>
              </c:numCache>
            </c:numRef>
          </c:yVal>
          <c:smooth val="0"/>
          <c:extLst>
            <c:ext xmlns:c16="http://schemas.microsoft.com/office/drawing/2014/chart" uri="{C3380CC4-5D6E-409C-BE32-E72D297353CC}">
              <c16:uniqueId val="{00000008-CDD2-45AF-A258-8FC56986AECB}"/>
            </c:ext>
          </c:extLst>
        </c:ser>
        <c:ser>
          <c:idx val="9"/>
          <c:order val="9"/>
          <c:tx>
            <c:v>Median</c:v>
          </c:tx>
          <c:spPr>
            <a:ln w="12700">
              <a:solidFill>
                <a:srgbClr val="969696"/>
              </a:solidFill>
              <a:prstDash val="lgDashDotDot"/>
            </a:ln>
          </c:spPr>
          <c:marker>
            <c:symbol val="none"/>
          </c:marker>
          <c:xVal>
            <c:numRef>
              <c:f>'frei 2'!$U$11:$V$11</c:f>
              <c:numCache>
                <c:formatCode>0.000</c:formatCode>
                <c:ptCount val="2"/>
                <c:pt idx="0">
                  <c:v>0</c:v>
                </c:pt>
                <c:pt idx="1">
                  <c:v>0</c:v>
                </c:pt>
              </c:numCache>
            </c:numRef>
          </c:xVal>
          <c:yVal>
            <c:numRef>
              <c:f>'frei 2'!$U$2:$V$2</c:f>
              <c:numCache>
                <c:formatCode>General</c:formatCode>
                <c:ptCount val="2"/>
                <c:pt idx="0">
                  <c:v>0</c:v>
                </c:pt>
                <c:pt idx="1">
                  <c:v>1000</c:v>
                </c:pt>
              </c:numCache>
            </c:numRef>
          </c:yVal>
          <c:smooth val="0"/>
          <c:extLst>
            <c:ext xmlns:c16="http://schemas.microsoft.com/office/drawing/2014/chart" uri="{C3380CC4-5D6E-409C-BE32-E72D297353CC}">
              <c16:uniqueId val="{00000009-CDD2-45AF-A258-8FC56986AECB}"/>
            </c:ext>
          </c:extLst>
        </c:ser>
        <c:dLbls>
          <c:showLegendKey val="0"/>
          <c:showVal val="0"/>
          <c:showCatName val="0"/>
          <c:showSerName val="0"/>
          <c:showPercent val="0"/>
          <c:showBubbleSize val="0"/>
        </c:dLbls>
        <c:axId val="159720960"/>
        <c:axId val="159722496"/>
      </c:scatterChart>
      <c:valAx>
        <c:axId val="159720960"/>
        <c:scaling>
          <c:orientation val="minMax"/>
          <c:max val="15"/>
          <c:min val="5"/>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9722496"/>
        <c:crosses val="autoZero"/>
        <c:crossBetween val="midCat"/>
        <c:majorUnit val="5"/>
        <c:minorUnit val="1"/>
      </c:valAx>
      <c:valAx>
        <c:axId val="159722496"/>
        <c:scaling>
          <c:orientation val="minMax"/>
          <c:max val="3"/>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9720960"/>
        <c:crosses val="autoZero"/>
        <c:crossBetween val="midCat"/>
        <c:majorUnit val="1"/>
        <c:minorUnit val="0.5"/>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'frei 2'!$M$3:$M$252</c:f>
              <c:numCache>
                <c:formatCode>d/m/yyyy;@</c:formatCode>
                <c:ptCount val="250"/>
              </c:numCache>
            </c:numRef>
          </c:xVal>
          <c:yVal>
            <c:numRef>
              <c:f>'frei 2'!$N$3:$N$252</c:f>
              <c:numCache>
                <c:formatCode>General</c:formatCode>
                <c:ptCount val="250"/>
              </c:numCache>
            </c:numRef>
          </c:yVal>
          <c:smooth val="0"/>
          <c:extLst>
            <c:ext xmlns:c16="http://schemas.microsoft.com/office/drawing/2014/chart" uri="{C3380CC4-5D6E-409C-BE32-E72D297353CC}">
              <c16:uniqueId val="{00000000-594B-43CB-88CD-C7C1F4D26C2F}"/>
            </c:ext>
          </c:extLst>
        </c:ser>
        <c:ser>
          <c:idx val="1"/>
          <c:order val="1"/>
          <c:tx>
            <c:v>Q95</c:v>
          </c:tx>
          <c:spPr>
            <a:ln w="12700">
              <a:solidFill>
                <a:srgbClr val="0000FF"/>
              </a:solidFill>
              <a:prstDash val="sysDash"/>
            </a:ln>
          </c:spPr>
          <c:marker>
            <c:symbol val="none"/>
          </c:marker>
          <c:xVal>
            <c:numRef>
              <c:f>'frei 2'!$E$57:$E$58</c:f>
              <c:numCache>
                <c:formatCode>m/d/yyyy</c:formatCode>
                <c:ptCount val="2"/>
                <c:pt idx="0">
                  <c:v>36161</c:v>
                </c:pt>
                <c:pt idx="1">
                  <c:v>44196</c:v>
                </c:pt>
              </c:numCache>
            </c:numRef>
          </c:xVal>
          <c:yVal>
            <c:numRef>
              <c:f>'frei 2'!$F$57:$F$58</c:f>
              <c:numCache>
                <c:formatCode>0.000</c:formatCode>
                <c:ptCount val="2"/>
                <c:pt idx="0">
                  <c:v>0</c:v>
                </c:pt>
                <c:pt idx="1">
                  <c:v>0</c:v>
                </c:pt>
              </c:numCache>
            </c:numRef>
          </c:yVal>
          <c:smooth val="0"/>
          <c:extLst>
            <c:ext xmlns:c16="http://schemas.microsoft.com/office/drawing/2014/chart" uri="{C3380CC4-5D6E-409C-BE32-E72D297353CC}">
              <c16:uniqueId val="{00000001-594B-43CB-88CD-C7C1F4D26C2F}"/>
            </c:ext>
          </c:extLst>
        </c:ser>
        <c:ser>
          <c:idx val="4"/>
          <c:order val="2"/>
          <c:tx>
            <c:v>Q95Log</c:v>
          </c:tx>
          <c:spPr>
            <a:ln w="12700">
              <a:solidFill>
                <a:srgbClr val="FF00FF"/>
              </a:solidFill>
              <a:prstDash val="sysDash"/>
            </a:ln>
          </c:spPr>
          <c:marker>
            <c:symbol val="none"/>
          </c:marker>
          <c:xVal>
            <c:numRef>
              <c:f>'frei 2'!$E$57:$E$58</c:f>
              <c:numCache>
                <c:formatCode>m/d/yyyy</c:formatCode>
                <c:ptCount val="2"/>
                <c:pt idx="0">
                  <c:v>36161</c:v>
                </c:pt>
                <c:pt idx="1">
                  <c:v>44196</c:v>
                </c:pt>
              </c:numCache>
            </c:numRef>
          </c:xVal>
          <c:yVal>
            <c:numRef>
              <c:f>'frei 2'!$J$57:$J$58</c:f>
              <c:numCache>
                <c:formatCode>0.000</c:formatCode>
                <c:ptCount val="2"/>
                <c:pt idx="0">
                  <c:v>0</c:v>
                </c:pt>
                <c:pt idx="1">
                  <c:v>0</c:v>
                </c:pt>
              </c:numCache>
            </c:numRef>
          </c:yVal>
          <c:smooth val="0"/>
          <c:extLst>
            <c:ext xmlns:c16="http://schemas.microsoft.com/office/drawing/2014/chart" uri="{C3380CC4-5D6E-409C-BE32-E72D297353CC}">
              <c16:uniqueId val="{00000002-594B-43CB-88CD-C7C1F4D26C2F}"/>
            </c:ext>
          </c:extLst>
        </c:ser>
        <c:ser>
          <c:idx val="9"/>
          <c:order val="3"/>
          <c:tx>
            <c:v>vT</c:v>
          </c:tx>
          <c:spPr>
            <a:ln w="12700">
              <a:solidFill>
                <a:srgbClr val="808080"/>
              </a:solidFill>
              <a:prstDash val="sysDash"/>
            </a:ln>
          </c:spPr>
          <c:marker>
            <c:symbol val="none"/>
          </c:marker>
          <c:xVal>
            <c:numRef>
              <c:f>'frei 2'!$G$122:$G$123</c:f>
              <c:numCache>
                <c:formatCode>d/m/yyyy;@</c:formatCode>
                <c:ptCount val="2"/>
                <c:pt idx="0">
                  <c:v>0</c:v>
                </c:pt>
                <c:pt idx="1">
                  <c:v>0</c:v>
                </c:pt>
              </c:numCache>
            </c:numRef>
          </c:xVal>
          <c:yVal>
            <c:numRef>
              <c:f>'frei 2'!$I$122:$I$123</c:f>
              <c:numCache>
                <c:formatCode>General</c:formatCode>
                <c:ptCount val="2"/>
                <c:pt idx="0">
                  <c:v>0</c:v>
                </c:pt>
                <c:pt idx="1">
                  <c:v>0</c:v>
                </c:pt>
              </c:numCache>
            </c:numRef>
          </c:yVal>
          <c:smooth val="0"/>
          <c:extLst>
            <c:ext xmlns:c16="http://schemas.microsoft.com/office/drawing/2014/chart" uri="{C3380CC4-5D6E-409C-BE32-E72D297353CC}">
              <c16:uniqueId val="{00000003-594B-43CB-88CD-C7C1F4D26C2F}"/>
            </c:ext>
          </c:extLst>
        </c:ser>
        <c:ser>
          <c:idx val="10"/>
          <c:order val="4"/>
          <c:tx>
            <c:v>Trend</c:v>
          </c:tx>
          <c:spPr>
            <a:ln w="12700">
              <a:solidFill>
                <a:srgbClr val="808080"/>
              </a:solidFill>
              <a:prstDash val="solid"/>
            </a:ln>
          </c:spPr>
          <c:marker>
            <c:symbol val="none"/>
          </c:marker>
          <c:xVal>
            <c:numRef>
              <c:f>'frei 2'!$G$122:$G$123</c:f>
              <c:numCache>
                <c:formatCode>d/m/yyyy;@</c:formatCode>
                <c:ptCount val="2"/>
                <c:pt idx="0">
                  <c:v>0</c:v>
                </c:pt>
                <c:pt idx="1">
                  <c:v>0</c:v>
                </c:pt>
              </c:numCache>
            </c:numRef>
          </c:xVal>
          <c:yVal>
            <c:numRef>
              <c:f>'frei 2'!$J$122:$J$123</c:f>
              <c:numCache>
                <c:formatCode>General</c:formatCode>
                <c:ptCount val="2"/>
                <c:pt idx="0">
                  <c:v>0</c:v>
                </c:pt>
                <c:pt idx="1">
                  <c:v>0</c:v>
                </c:pt>
              </c:numCache>
            </c:numRef>
          </c:yVal>
          <c:smooth val="0"/>
          <c:extLst>
            <c:ext xmlns:c16="http://schemas.microsoft.com/office/drawing/2014/chart" uri="{C3380CC4-5D6E-409C-BE32-E72D297353CC}">
              <c16:uniqueId val="{00000004-594B-43CB-88CD-C7C1F4D26C2F}"/>
            </c:ext>
          </c:extLst>
        </c:ser>
        <c:ser>
          <c:idx val="2"/>
          <c:order val="5"/>
          <c:tx>
            <c:v>Q95u</c:v>
          </c:tx>
          <c:spPr>
            <a:ln w="12700">
              <a:solidFill>
                <a:srgbClr val="0000FF"/>
              </a:solidFill>
              <a:prstDash val="sysDash"/>
            </a:ln>
          </c:spPr>
          <c:marker>
            <c:symbol val="none"/>
          </c:marker>
          <c:xVal>
            <c:numRef>
              <c:f>'frei 2'!$E$57:$E$58</c:f>
              <c:numCache>
                <c:formatCode>m/d/yyyy</c:formatCode>
                <c:ptCount val="2"/>
                <c:pt idx="0">
                  <c:v>36161</c:v>
                </c:pt>
                <c:pt idx="1">
                  <c:v>44196</c:v>
                </c:pt>
              </c:numCache>
            </c:numRef>
          </c:xVal>
          <c:yVal>
            <c:numRef>
              <c:f>'frei 2'!$G$57:$G$58</c:f>
              <c:numCache>
                <c:formatCode>0.000</c:formatCode>
                <c:ptCount val="2"/>
                <c:pt idx="0">
                  <c:v>0</c:v>
                </c:pt>
                <c:pt idx="1">
                  <c:v>0</c:v>
                </c:pt>
              </c:numCache>
            </c:numRef>
          </c:yVal>
          <c:smooth val="0"/>
          <c:extLst>
            <c:ext xmlns:c16="http://schemas.microsoft.com/office/drawing/2014/chart" uri="{C3380CC4-5D6E-409C-BE32-E72D297353CC}">
              <c16:uniqueId val="{00000005-594B-43CB-88CD-C7C1F4D26C2F}"/>
            </c:ext>
          </c:extLst>
        </c:ser>
        <c:ser>
          <c:idx val="3"/>
          <c:order val="6"/>
          <c:tx>
            <c:v>Q98</c:v>
          </c:tx>
          <c:spPr>
            <a:ln w="12700">
              <a:solidFill>
                <a:srgbClr val="0000FF"/>
              </a:solidFill>
              <a:prstDash val="solid"/>
            </a:ln>
          </c:spPr>
          <c:marker>
            <c:symbol val="none"/>
          </c:marker>
          <c:xVal>
            <c:numRef>
              <c:f>'frei 2'!$E$57:$E$58</c:f>
              <c:numCache>
                <c:formatCode>m/d/yyyy</c:formatCode>
                <c:ptCount val="2"/>
                <c:pt idx="0">
                  <c:v>36161</c:v>
                </c:pt>
                <c:pt idx="1">
                  <c:v>44196</c:v>
                </c:pt>
              </c:numCache>
            </c:numRef>
          </c:xVal>
          <c:yVal>
            <c:numRef>
              <c:f>'frei 2'!$H$57:$H$58</c:f>
              <c:numCache>
                <c:formatCode>0.000</c:formatCode>
                <c:ptCount val="2"/>
                <c:pt idx="0">
                  <c:v>0</c:v>
                </c:pt>
                <c:pt idx="1">
                  <c:v>0</c:v>
                </c:pt>
              </c:numCache>
            </c:numRef>
          </c:yVal>
          <c:smooth val="0"/>
          <c:extLst>
            <c:ext xmlns:c16="http://schemas.microsoft.com/office/drawing/2014/chart" uri="{C3380CC4-5D6E-409C-BE32-E72D297353CC}">
              <c16:uniqueId val="{00000006-594B-43CB-88CD-C7C1F4D26C2F}"/>
            </c:ext>
          </c:extLst>
        </c:ser>
        <c:ser>
          <c:idx val="6"/>
          <c:order val="7"/>
          <c:tx>
            <c:v>Q98Log</c:v>
          </c:tx>
          <c:spPr>
            <a:ln w="12700">
              <a:solidFill>
                <a:srgbClr val="CC00FF"/>
              </a:solidFill>
            </a:ln>
          </c:spPr>
          <c:marker>
            <c:symbol val="none"/>
          </c:marker>
          <c:xVal>
            <c:numRef>
              <c:f>'frei 2'!$E$57:$E$58</c:f>
              <c:numCache>
                <c:formatCode>m/d/yyyy</c:formatCode>
                <c:ptCount val="2"/>
                <c:pt idx="0">
                  <c:v>36161</c:v>
                </c:pt>
                <c:pt idx="1">
                  <c:v>44196</c:v>
                </c:pt>
              </c:numCache>
            </c:numRef>
          </c:xVal>
          <c:yVal>
            <c:numRef>
              <c:f>'frei 2'!$K$57:$K$58</c:f>
              <c:numCache>
                <c:formatCode>0.000</c:formatCode>
                <c:ptCount val="2"/>
                <c:pt idx="0">
                  <c:v>0</c:v>
                </c:pt>
                <c:pt idx="1">
                  <c:v>0</c:v>
                </c:pt>
              </c:numCache>
            </c:numRef>
          </c:yVal>
          <c:smooth val="0"/>
          <c:extLst>
            <c:ext xmlns:c16="http://schemas.microsoft.com/office/drawing/2014/chart" uri="{C3380CC4-5D6E-409C-BE32-E72D297353CC}">
              <c16:uniqueId val="{00000007-594B-43CB-88CD-C7C1F4D26C2F}"/>
            </c:ext>
          </c:extLst>
        </c:ser>
        <c:dLbls>
          <c:showLegendKey val="0"/>
          <c:showVal val="0"/>
          <c:showCatName val="0"/>
          <c:showSerName val="0"/>
          <c:showPercent val="0"/>
          <c:showBubbleSize val="0"/>
        </c:dLbls>
        <c:axId val="159784960"/>
        <c:axId val="159786496"/>
      </c:scatterChart>
      <c:valAx>
        <c:axId val="159784960"/>
        <c:scaling>
          <c:orientation val="minMax"/>
          <c:max val="38717"/>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9786496"/>
        <c:crossesAt val="0"/>
        <c:crossBetween val="midCat"/>
        <c:majorUnit val="1461"/>
        <c:minorUnit val="365.25"/>
      </c:valAx>
      <c:valAx>
        <c:axId val="159786496"/>
        <c:scaling>
          <c:orientation val="minMax"/>
          <c:max val="15"/>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9784960"/>
        <c:crossesAt val="0"/>
        <c:crossBetween val="midCat"/>
        <c:majorUnit val="5"/>
        <c:minorUnit val="1"/>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'frei 3'!$F$63:$F$113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3'!$G$63:$G$113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6E4C-466B-9A58-78191C7C78E5}"/>
            </c:ext>
          </c:extLst>
        </c:ser>
        <c:ser>
          <c:idx val="1"/>
          <c:order val="1"/>
          <c:tx>
            <c:v>LogNormalverteilung</c:v>
          </c:tx>
          <c:spPr>
            <a:ln w="25400">
              <a:solidFill>
                <a:srgbClr val="FF00FF"/>
              </a:solidFill>
              <a:prstDash val="solid"/>
            </a:ln>
          </c:spPr>
          <c:marker>
            <c:symbol val="none"/>
          </c:marker>
          <c:xVal>
            <c:numRef>
              <c:f>'frei 3'!$I$63:$I$113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3'!$J$63:$J$113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6E4C-466B-9A58-78191C7C78E5}"/>
            </c:ext>
          </c:extLst>
        </c:ser>
        <c:ser>
          <c:idx val="2"/>
          <c:order val="2"/>
          <c:tx>
            <c:v>Histogramm</c:v>
          </c:tx>
          <c:spPr>
            <a:ln w="25400">
              <a:solidFill>
                <a:srgbClr val="969696"/>
              </a:solidFill>
              <a:prstDash val="lgDashDot"/>
            </a:ln>
          </c:spPr>
          <c:marker>
            <c:symbol val="none"/>
          </c:marker>
          <c:xVal>
            <c:numRef>
              <c:f>'frei 3'!$T$46:$T$97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'frei 3'!$U$46:$U$97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6E4C-466B-9A58-78191C7C78E5}"/>
            </c:ext>
          </c:extLst>
        </c:ser>
        <c:ser>
          <c:idx val="3"/>
          <c:order val="3"/>
          <c:tx>
            <c:v>Q95 No</c:v>
          </c:tx>
          <c:spPr>
            <a:ln w="12700">
              <a:solidFill>
                <a:srgbClr val="0000FF"/>
              </a:solidFill>
              <a:prstDash val="sysDash"/>
            </a:ln>
          </c:spPr>
          <c:marker>
            <c:symbol val="none"/>
          </c:marker>
          <c:xVal>
            <c:numRef>
              <c:f>'frei 3'!$U$3:$V$3</c:f>
              <c:numCache>
                <c:formatCode>0.000</c:formatCode>
                <c:ptCount val="2"/>
                <c:pt idx="0">
                  <c:v>0</c:v>
                </c:pt>
                <c:pt idx="1">
                  <c:v>0</c:v>
                </c:pt>
              </c:numCache>
            </c:numRef>
          </c:xVal>
          <c:yVal>
            <c:numRef>
              <c:f>'frei 3'!$U$2:$V$2</c:f>
              <c:numCache>
                <c:formatCode>General</c:formatCode>
                <c:ptCount val="2"/>
                <c:pt idx="0">
                  <c:v>0</c:v>
                </c:pt>
                <c:pt idx="1">
                  <c:v>1000</c:v>
                </c:pt>
              </c:numCache>
            </c:numRef>
          </c:yVal>
          <c:smooth val="0"/>
          <c:extLst>
            <c:ext xmlns:c16="http://schemas.microsoft.com/office/drawing/2014/chart" uri="{C3380CC4-5D6E-409C-BE32-E72D297353CC}">
              <c16:uniqueId val="{00000003-6E4C-466B-9A58-78191C7C78E5}"/>
            </c:ext>
          </c:extLst>
        </c:ser>
        <c:ser>
          <c:idx val="4"/>
          <c:order val="4"/>
          <c:tx>
            <c:v>Q95 Lo</c:v>
          </c:tx>
          <c:spPr>
            <a:ln w="12700">
              <a:solidFill>
                <a:srgbClr val="FF00FF"/>
              </a:solidFill>
              <a:prstDash val="sysDash"/>
            </a:ln>
          </c:spPr>
          <c:marker>
            <c:symbol val="none"/>
          </c:marker>
          <c:xVal>
            <c:numRef>
              <c:f>'frei 3'!$U$4:$V$4</c:f>
              <c:numCache>
                <c:formatCode>0.000</c:formatCode>
                <c:ptCount val="2"/>
                <c:pt idx="0">
                  <c:v>0</c:v>
                </c:pt>
                <c:pt idx="1">
                  <c:v>0</c:v>
                </c:pt>
              </c:numCache>
            </c:numRef>
          </c:xVal>
          <c:yVal>
            <c:numRef>
              <c:f>'frei 3'!$U$2:$V$2</c:f>
              <c:numCache>
                <c:formatCode>General</c:formatCode>
                <c:ptCount val="2"/>
                <c:pt idx="0">
                  <c:v>0</c:v>
                </c:pt>
                <c:pt idx="1">
                  <c:v>1000</c:v>
                </c:pt>
              </c:numCache>
            </c:numRef>
          </c:yVal>
          <c:smooth val="0"/>
          <c:extLst>
            <c:ext xmlns:c16="http://schemas.microsoft.com/office/drawing/2014/chart" uri="{C3380CC4-5D6E-409C-BE32-E72D297353CC}">
              <c16:uniqueId val="{00000004-6E4C-466B-9A58-78191C7C78E5}"/>
            </c:ext>
          </c:extLst>
        </c:ser>
        <c:ser>
          <c:idx val="5"/>
          <c:order val="5"/>
          <c:tx>
            <c:v>Q98 No</c:v>
          </c:tx>
          <c:spPr>
            <a:ln w="12700">
              <a:solidFill>
                <a:srgbClr val="0000FF"/>
              </a:solidFill>
              <a:prstDash val="solid"/>
            </a:ln>
          </c:spPr>
          <c:marker>
            <c:symbol val="none"/>
          </c:marker>
          <c:xVal>
            <c:numRef>
              <c:f>'frei 3'!$U$5:$V$5</c:f>
              <c:numCache>
                <c:formatCode>0.000</c:formatCode>
                <c:ptCount val="2"/>
                <c:pt idx="0">
                  <c:v>0</c:v>
                </c:pt>
                <c:pt idx="1">
                  <c:v>0</c:v>
                </c:pt>
              </c:numCache>
            </c:numRef>
          </c:xVal>
          <c:yVal>
            <c:numRef>
              <c:f>'frei 3'!$U$2:$V$2</c:f>
              <c:numCache>
                <c:formatCode>General</c:formatCode>
                <c:ptCount val="2"/>
                <c:pt idx="0">
                  <c:v>0</c:v>
                </c:pt>
                <c:pt idx="1">
                  <c:v>1000</c:v>
                </c:pt>
              </c:numCache>
            </c:numRef>
          </c:yVal>
          <c:smooth val="0"/>
          <c:extLst>
            <c:ext xmlns:c16="http://schemas.microsoft.com/office/drawing/2014/chart" uri="{C3380CC4-5D6E-409C-BE32-E72D297353CC}">
              <c16:uniqueId val="{00000005-6E4C-466B-9A58-78191C7C78E5}"/>
            </c:ext>
          </c:extLst>
        </c:ser>
        <c:ser>
          <c:idx val="6"/>
          <c:order val="6"/>
          <c:tx>
            <c:v>Q98 Lo</c:v>
          </c:tx>
          <c:spPr>
            <a:ln w="12700">
              <a:solidFill>
                <a:srgbClr val="FF00FF"/>
              </a:solidFill>
              <a:prstDash val="solid"/>
            </a:ln>
          </c:spPr>
          <c:marker>
            <c:symbol val="none"/>
          </c:marker>
          <c:xVal>
            <c:numRef>
              <c:f>'frei 3'!$U$6:$V$6</c:f>
              <c:numCache>
                <c:formatCode>0.000</c:formatCode>
                <c:ptCount val="2"/>
                <c:pt idx="0">
                  <c:v>0</c:v>
                </c:pt>
                <c:pt idx="1">
                  <c:v>0</c:v>
                </c:pt>
              </c:numCache>
            </c:numRef>
          </c:xVal>
          <c:yVal>
            <c:numRef>
              <c:f>'frei 3'!$U$2:$V$2</c:f>
              <c:numCache>
                <c:formatCode>General</c:formatCode>
                <c:ptCount val="2"/>
                <c:pt idx="0">
                  <c:v>0</c:v>
                </c:pt>
                <c:pt idx="1">
                  <c:v>1000</c:v>
                </c:pt>
              </c:numCache>
            </c:numRef>
          </c:yVal>
          <c:smooth val="0"/>
          <c:extLst>
            <c:ext xmlns:c16="http://schemas.microsoft.com/office/drawing/2014/chart" uri="{C3380CC4-5D6E-409C-BE32-E72D297353CC}">
              <c16:uniqueId val="{00000006-6E4C-466B-9A58-78191C7C78E5}"/>
            </c:ext>
          </c:extLst>
        </c:ser>
        <c:ser>
          <c:idx val="7"/>
          <c:order val="7"/>
          <c:tx>
            <c:v>Q95u</c:v>
          </c:tx>
          <c:spPr>
            <a:ln w="12700">
              <a:solidFill>
                <a:srgbClr val="0000FF"/>
              </a:solidFill>
              <a:prstDash val="sysDash"/>
            </a:ln>
          </c:spPr>
          <c:marker>
            <c:symbol val="none"/>
          </c:marker>
          <c:xVal>
            <c:numRef>
              <c:f>'frei 3'!$U$7:$V$7</c:f>
              <c:numCache>
                <c:formatCode>0.000</c:formatCode>
                <c:ptCount val="2"/>
                <c:pt idx="0">
                  <c:v>0</c:v>
                </c:pt>
                <c:pt idx="1">
                  <c:v>0</c:v>
                </c:pt>
              </c:numCache>
            </c:numRef>
          </c:xVal>
          <c:yVal>
            <c:numRef>
              <c:f>'frei 3'!$U$2:$V$2</c:f>
              <c:numCache>
                <c:formatCode>General</c:formatCode>
                <c:ptCount val="2"/>
                <c:pt idx="0">
                  <c:v>0</c:v>
                </c:pt>
                <c:pt idx="1">
                  <c:v>1000</c:v>
                </c:pt>
              </c:numCache>
            </c:numRef>
          </c:yVal>
          <c:smooth val="0"/>
          <c:extLst>
            <c:ext xmlns:c16="http://schemas.microsoft.com/office/drawing/2014/chart" uri="{C3380CC4-5D6E-409C-BE32-E72D297353CC}">
              <c16:uniqueId val="{00000007-6E4C-466B-9A58-78191C7C78E5}"/>
            </c:ext>
          </c:extLst>
        </c:ser>
        <c:ser>
          <c:idx val="8"/>
          <c:order val="8"/>
          <c:tx>
            <c:v>Q95u Lo</c:v>
          </c:tx>
          <c:spPr>
            <a:ln w="12700">
              <a:solidFill>
                <a:srgbClr val="FF00FF"/>
              </a:solidFill>
              <a:prstDash val="sysDash"/>
            </a:ln>
          </c:spPr>
          <c:marker>
            <c:symbol val="none"/>
          </c:marker>
          <c:xVal>
            <c:numRef>
              <c:f>'frei 3'!$U$8:$V$8</c:f>
              <c:numCache>
                <c:formatCode>0.000</c:formatCode>
                <c:ptCount val="2"/>
                <c:pt idx="0">
                  <c:v>0</c:v>
                </c:pt>
                <c:pt idx="1">
                  <c:v>0</c:v>
                </c:pt>
              </c:numCache>
            </c:numRef>
          </c:xVal>
          <c:yVal>
            <c:numRef>
              <c:f>'frei 3'!$U$2:$V$2</c:f>
              <c:numCache>
                <c:formatCode>General</c:formatCode>
                <c:ptCount val="2"/>
                <c:pt idx="0">
                  <c:v>0</c:v>
                </c:pt>
                <c:pt idx="1">
                  <c:v>1000</c:v>
                </c:pt>
              </c:numCache>
            </c:numRef>
          </c:yVal>
          <c:smooth val="0"/>
          <c:extLst>
            <c:ext xmlns:c16="http://schemas.microsoft.com/office/drawing/2014/chart" uri="{C3380CC4-5D6E-409C-BE32-E72D297353CC}">
              <c16:uniqueId val="{00000008-6E4C-466B-9A58-78191C7C78E5}"/>
            </c:ext>
          </c:extLst>
        </c:ser>
        <c:ser>
          <c:idx val="9"/>
          <c:order val="9"/>
          <c:tx>
            <c:v>Median</c:v>
          </c:tx>
          <c:spPr>
            <a:ln w="12700">
              <a:solidFill>
                <a:srgbClr val="969696"/>
              </a:solidFill>
              <a:prstDash val="lgDashDotDot"/>
            </a:ln>
          </c:spPr>
          <c:marker>
            <c:symbol val="none"/>
          </c:marker>
          <c:xVal>
            <c:numRef>
              <c:f>'frei 3'!$U$11:$V$11</c:f>
              <c:numCache>
                <c:formatCode>0.000</c:formatCode>
                <c:ptCount val="2"/>
                <c:pt idx="0">
                  <c:v>0</c:v>
                </c:pt>
                <c:pt idx="1">
                  <c:v>0</c:v>
                </c:pt>
              </c:numCache>
            </c:numRef>
          </c:xVal>
          <c:yVal>
            <c:numRef>
              <c:f>'frei 3'!$U$2:$V$2</c:f>
              <c:numCache>
                <c:formatCode>General</c:formatCode>
                <c:ptCount val="2"/>
                <c:pt idx="0">
                  <c:v>0</c:v>
                </c:pt>
                <c:pt idx="1">
                  <c:v>1000</c:v>
                </c:pt>
              </c:numCache>
            </c:numRef>
          </c:yVal>
          <c:smooth val="0"/>
          <c:extLst>
            <c:ext xmlns:c16="http://schemas.microsoft.com/office/drawing/2014/chart" uri="{C3380CC4-5D6E-409C-BE32-E72D297353CC}">
              <c16:uniqueId val="{00000009-6E4C-466B-9A58-78191C7C78E5}"/>
            </c:ext>
          </c:extLst>
        </c:ser>
        <c:dLbls>
          <c:showLegendKey val="0"/>
          <c:showVal val="0"/>
          <c:showCatName val="0"/>
          <c:showSerName val="0"/>
          <c:showPercent val="0"/>
          <c:showBubbleSize val="0"/>
        </c:dLbls>
        <c:axId val="159616000"/>
        <c:axId val="159630080"/>
      </c:scatterChart>
      <c:valAx>
        <c:axId val="159616000"/>
        <c:scaling>
          <c:orientation val="minMax"/>
          <c:max val="1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9630080"/>
        <c:crosses val="autoZero"/>
        <c:crossBetween val="midCat"/>
        <c:majorUnit val="20"/>
        <c:minorUnit val="5"/>
      </c:valAx>
      <c:valAx>
        <c:axId val="159630080"/>
        <c:scaling>
          <c:orientation val="minMax"/>
          <c:max val="0.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9616000"/>
        <c:crosses val="autoZero"/>
        <c:crossBetween val="midCat"/>
        <c:majorUnit val="5.000000000000001E-2"/>
        <c:minorUnit val="1.0000000000000002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'frei 3'!$M$3:$M$252</c:f>
              <c:numCache>
                <c:formatCode>d/m/yyyy;@</c:formatCode>
                <c:ptCount val="250"/>
              </c:numCache>
            </c:numRef>
          </c:xVal>
          <c:yVal>
            <c:numRef>
              <c:f>'frei 3'!$N$3:$N$252</c:f>
              <c:numCache>
                <c:formatCode>General</c:formatCode>
                <c:ptCount val="250"/>
              </c:numCache>
            </c:numRef>
          </c:yVal>
          <c:smooth val="0"/>
          <c:extLst>
            <c:ext xmlns:c16="http://schemas.microsoft.com/office/drawing/2014/chart" uri="{C3380CC4-5D6E-409C-BE32-E72D297353CC}">
              <c16:uniqueId val="{00000000-0229-423F-8A91-79C3A90727B3}"/>
            </c:ext>
          </c:extLst>
        </c:ser>
        <c:ser>
          <c:idx val="1"/>
          <c:order val="1"/>
          <c:tx>
            <c:v>Q95</c:v>
          </c:tx>
          <c:spPr>
            <a:ln w="12700">
              <a:solidFill>
                <a:srgbClr val="0000FF"/>
              </a:solidFill>
              <a:prstDash val="sysDash"/>
            </a:ln>
          </c:spPr>
          <c:marker>
            <c:symbol val="none"/>
          </c:marker>
          <c:xVal>
            <c:numRef>
              <c:f>'frei 3'!$E$57:$E$58</c:f>
              <c:numCache>
                <c:formatCode>m/d/yyyy</c:formatCode>
                <c:ptCount val="2"/>
                <c:pt idx="0">
                  <c:v>1</c:v>
                </c:pt>
                <c:pt idx="1">
                  <c:v>73415</c:v>
                </c:pt>
              </c:numCache>
            </c:numRef>
          </c:xVal>
          <c:yVal>
            <c:numRef>
              <c:f>'frei 3'!$F$57:$F$58</c:f>
              <c:numCache>
                <c:formatCode>0.000</c:formatCode>
                <c:ptCount val="2"/>
                <c:pt idx="0">
                  <c:v>0</c:v>
                </c:pt>
                <c:pt idx="1">
                  <c:v>0</c:v>
                </c:pt>
              </c:numCache>
            </c:numRef>
          </c:yVal>
          <c:smooth val="0"/>
          <c:extLst>
            <c:ext xmlns:c16="http://schemas.microsoft.com/office/drawing/2014/chart" uri="{C3380CC4-5D6E-409C-BE32-E72D297353CC}">
              <c16:uniqueId val="{00000001-0229-423F-8A91-79C3A90727B3}"/>
            </c:ext>
          </c:extLst>
        </c:ser>
        <c:ser>
          <c:idx val="4"/>
          <c:order val="2"/>
          <c:tx>
            <c:v>Q95Log</c:v>
          </c:tx>
          <c:spPr>
            <a:ln w="12700">
              <a:solidFill>
                <a:srgbClr val="FF00FF"/>
              </a:solidFill>
              <a:prstDash val="sysDash"/>
            </a:ln>
          </c:spPr>
          <c:marker>
            <c:symbol val="none"/>
          </c:marker>
          <c:xVal>
            <c:numRef>
              <c:f>'frei 3'!$E$57:$E$58</c:f>
              <c:numCache>
                <c:formatCode>m/d/yyyy</c:formatCode>
                <c:ptCount val="2"/>
                <c:pt idx="0">
                  <c:v>1</c:v>
                </c:pt>
                <c:pt idx="1">
                  <c:v>73415</c:v>
                </c:pt>
              </c:numCache>
            </c:numRef>
          </c:xVal>
          <c:yVal>
            <c:numRef>
              <c:f>'frei 3'!$J$57:$J$58</c:f>
              <c:numCache>
                <c:formatCode>0.000</c:formatCode>
                <c:ptCount val="2"/>
                <c:pt idx="0">
                  <c:v>0</c:v>
                </c:pt>
                <c:pt idx="1">
                  <c:v>0</c:v>
                </c:pt>
              </c:numCache>
            </c:numRef>
          </c:yVal>
          <c:smooth val="0"/>
          <c:extLst>
            <c:ext xmlns:c16="http://schemas.microsoft.com/office/drawing/2014/chart" uri="{C3380CC4-5D6E-409C-BE32-E72D297353CC}">
              <c16:uniqueId val="{00000002-0229-423F-8A91-79C3A90727B3}"/>
            </c:ext>
          </c:extLst>
        </c:ser>
        <c:ser>
          <c:idx val="9"/>
          <c:order val="3"/>
          <c:tx>
            <c:v>vT</c:v>
          </c:tx>
          <c:spPr>
            <a:ln w="12700">
              <a:solidFill>
                <a:srgbClr val="808080"/>
              </a:solidFill>
              <a:prstDash val="sysDash"/>
            </a:ln>
          </c:spPr>
          <c:marker>
            <c:symbol val="none"/>
          </c:marker>
          <c:xVal>
            <c:numRef>
              <c:f>'frei 3'!$G$122:$G$123</c:f>
              <c:numCache>
                <c:formatCode>d/m/yyyy;@</c:formatCode>
                <c:ptCount val="2"/>
                <c:pt idx="0">
                  <c:v>0</c:v>
                </c:pt>
                <c:pt idx="1">
                  <c:v>0</c:v>
                </c:pt>
              </c:numCache>
            </c:numRef>
          </c:xVal>
          <c:yVal>
            <c:numRef>
              <c:f>'frei 3'!$I$122:$I$123</c:f>
              <c:numCache>
                <c:formatCode>General</c:formatCode>
                <c:ptCount val="2"/>
                <c:pt idx="0">
                  <c:v>0</c:v>
                </c:pt>
                <c:pt idx="1">
                  <c:v>0</c:v>
                </c:pt>
              </c:numCache>
            </c:numRef>
          </c:yVal>
          <c:smooth val="0"/>
          <c:extLst>
            <c:ext xmlns:c16="http://schemas.microsoft.com/office/drawing/2014/chart" uri="{C3380CC4-5D6E-409C-BE32-E72D297353CC}">
              <c16:uniqueId val="{00000003-0229-423F-8A91-79C3A90727B3}"/>
            </c:ext>
          </c:extLst>
        </c:ser>
        <c:ser>
          <c:idx val="10"/>
          <c:order val="4"/>
          <c:tx>
            <c:v>Trend</c:v>
          </c:tx>
          <c:spPr>
            <a:ln w="12700">
              <a:solidFill>
                <a:srgbClr val="808080"/>
              </a:solidFill>
              <a:prstDash val="solid"/>
            </a:ln>
          </c:spPr>
          <c:marker>
            <c:symbol val="none"/>
          </c:marker>
          <c:xVal>
            <c:numRef>
              <c:f>'frei 3'!$G$122:$G$123</c:f>
              <c:numCache>
                <c:formatCode>d/m/yyyy;@</c:formatCode>
                <c:ptCount val="2"/>
                <c:pt idx="0">
                  <c:v>0</c:v>
                </c:pt>
                <c:pt idx="1">
                  <c:v>0</c:v>
                </c:pt>
              </c:numCache>
            </c:numRef>
          </c:xVal>
          <c:yVal>
            <c:numRef>
              <c:f>'frei 3'!$J$122:$J$123</c:f>
              <c:numCache>
                <c:formatCode>General</c:formatCode>
                <c:ptCount val="2"/>
                <c:pt idx="0">
                  <c:v>0</c:v>
                </c:pt>
                <c:pt idx="1">
                  <c:v>0</c:v>
                </c:pt>
              </c:numCache>
            </c:numRef>
          </c:yVal>
          <c:smooth val="0"/>
          <c:extLst>
            <c:ext xmlns:c16="http://schemas.microsoft.com/office/drawing/2014/chart" uri="{C3380CC4-5D6E-409C-BE32-E72D297353CC}">
              <c16:uniqueId val="{00000004-0229-423F-8A91-79C3A90727B3}"/>
            </c:ext>
          </c:extLst>
        </c:ser>
        <c:ser>
          <c:idx val="2"/>
          <c:order val="5"/>
          <c:tx>
            <c:v>Q95u</c:v>
          </c:tx>
          <c:spPr>
            <a:ln w="12700">
              <a:solidFill>
                <a:srgbClr val="0000FF"/>
              </a:solidFill>
              <a:prstDash val="sysDash"/>
            </a:ln>
          </c:spPr>
          <c:marker>
            <c:symbol val="none"/>
          </c:marker>
          <c:xVal>
            <c:numRef>
              <c:f>'frei 3'!$E$57:$E$58</c:f>
              <c:numCache>
                <c:formatCode>m/d/yyyy</c:formatCode>
                <c:ptCount val="2"/>
                <c:pt idx="0">
                  <c:v>1</c:v>
                </c:pt>
                <c:pt idx="1">
                  <c:v>73415</c:v>
                </c:pt>
              </c:numCache>
            </c:numRef>
          </c:xVal>
          <c:yVal>
            <c:numRef>
              <c:f>'frei 3'!$G$57:$G$58</c:f>
              <c:numCache>
                <c:formatCode>0.000</c:formatCode>
                <c:ptCount val="2"/>
                <c:pt idx="0">
                  <c:v>0</c:v>
                </c:pt>
                <c:pt idx="1">
                  <c:v>0</c:v>
                </c:pt>
              </c:numCache>
            </c:numRef>
          </c:yVal>
          <c:smooth val="0"/>
          <c:extLst>
            <c:ext xmlns:c16="http://schemas.microsoft.com/office/drawing/2014/chart" uri="{C3380CC4-5D6E-409C-BE32-E72D297353CC}">
              <c16:uniqueId val="{00000005-0229-423F-8A91-79C3A90727B3}"/>
            </c:ext>
          </c:extLst>
        </c:ser>
        <c:ser>
          <c:idx val="3"/>
          <c:order val="6"/>
          <c:tx>
            <c:v>Q98</c:v>
          </c:tx>
          <c:spPr>
            <a:ln w="12700">
              <a:solidFill>
                <a:srgbClr val="0000FF"/>
              </a:solidFill>
              <a:prstDash val="solid"/>
            </a:ln>
          </c:spPr>
          <c:marker>
            <c:symbol val="none"/>
          </c:marker>
          <c:xVal>
            <c:numRef>
              <c:f>'frei 3'!$E$57:$E$58</c:f>
              <c:numCache>
                <c:formatCode>m/d/yyyy</c:formatCode>
                <c:ptCount val="2"/>
                <c:pt idx="0">
                  <c:v>1</c:v>
                </c:pt>
                <c:pt idx="1">
                  <c:v>73415</c:v>
                </c:pt>
              </c:numCache>
            </c:numRef>
          </c:xVal>
          <c:yVal>
            <c:numRef>
              <c:f>'frei 3'!$H$57:$H$58</c:f>
              <c:numCache>
                <c:formatCode>0.000</c:formatCode>
                <c:ptCount val="2"/>
                <c:pt idx="0">
                  <c:v>0</c:v>
                </c:pt>
                <c:pt idx="1">
                  <c:v>0</c:v>
                </c:pt>
              </c:numCache>
            </c:numRef>
          </c:yVal>
          <c:smooth val="0"/>
          <c:extLst>
            <c:ext xmlns:c16="http://schemas.microsoft.com/office/drawing/2014/chart" uri="{C3380CC4-5D6E-409C-BE32-E72D297353CC}">
              <c16:uniqueId val="{00000006-0229-423F-8A91-79C3A90727B3}"/>
            </c:ext>
          </c:extLst>
        </c:ser>
        <c:ser>
          <c:idx val="6"/>
          <c:order val="7"/>
          <c:tx>
            <c:v>Q98Log</c:v>
          </c:tx>
          <c:spPr>
            <a:ln w="12700">
              <a:solidFill>
                <a:srgbClr val="CC00FF"/>
              </a:solidFill>
            </a:ln>
          </c:spPr>
          <c:marker>
            <c:symbol val="none"/>
          </c:marker>
          <c:xVal>
            <c:numRef>
              <c:f>'frei 3'!$E$57:$E$58</c:f>
              <c:numCache>
                <c:formatCode>m/d/yyyy</c:formatCode>
                <c:ptCount val="2"/>
                <c:pt idx="0">
                  <c:v>1</c:v>
                </c:pt>
                <c:pt idx="1">
                  <c:v>73415</c:v>
                </c:pt>
              </c:numCache>
            </c:numRef>
          </c:xVal>
          <c:yVal>
            <c:numRef>
              <c:f>'frei 3'!$K$57:$K$58</c:f>
              <c:numCache>
                <c:formatCode>0.000</c:formatCode>
                <c:ptCount val="2"/>
                <c:pt idx="0">
                  <c:v>0</c:v>
                </c:pt>
                <c:pt idx="1">
                  <c:v>0</c:v>
                </c:pt>
              </c:numCache>
            </c:numRef>
          </c:yVal>
          <c:smooth val="0"/>
          <c:extLst>
            <c:ext xmlns:c16="http://schemas.microsoft.com/office/drawing/2014/chart" uri="{C3380CC4-5D6E-409C-BE32-E72D297353CC}">
              <c16:uniqueId val="{00000007-0229-423F-8A91-79C3A90727B3}"/>
            </c:ext>
          </c:extLst>
        </c:ser>
        <c:dLbls>
          <c:showLegendKey val="0"/>
          <c:showVal val="0"/>
          <c:showCatName val="0"/>
          <c:showSerName val="0"/>
          <c:showPercent val="0"/>
          <c:showBubbleSize val="0"/>
        </c:dLbls>
        <c:axId val="159692288"/>
        <c:axId val="159693824"/>
      </c:scatterChart>
      <c:valAx>
        <c:axId val="159692288"/>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9693824"/>
        <c:crossesAt val="0"/>
        <c:crossBetween val="midCat"/>
        <c:majorUnit val="1461"/>
        <c:minorUnit val="365.25"/>
      </c:valAx>
      <c:valAx>
        <c:axId val="159693824"/>
        <c:scaling>
          <c:orientation val="minMax"/>
          <c:max val="1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9692288"/>
        <c:crossesAt val="0"/>
        <c:crossBetween val="midCat"/>
        <c:majorUnit val="20"/>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'frei 4'!$F$63:$F$113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4'!$G$63:$G$113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5C1C-44D1-BB66-C316B97BB422}"/>
            </c:ext>
          </c:extLst>
        </c:ser>
        <c:ser>
          <c:idx val="1"/>
          <c:order val="1"/>
          <c:tx>
            <c:v>LogNormalverteilung</c:v>
          </c:tx>
          <c:spPr>
            <a:ln w="25400">
              <a:solidFill>
                <a:srgbClr val="FF00FF"/>
              </a:solidFill>
              <a:prstDash val="solid"/>
            </a:ln>
          </c:spPr>
          <c:marker>
            <c:symbol val="none"/>
          </c:marker>
          <c:xVal>
            <c:numRef>
              <c:f>'frei 4'!$I$63:$I$113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4'!$J$63:$J$113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5C1C-44D1-BB66-C316B97BB422}"/>
            </c:ext>
          </c:extLst>
        </c:ser>
        <c:ser>
          <c:idx val="2"/>
          <c:order val="2"/>
          <c:tx>
            <c:v>Histogramm</c:v>
          </c:tx>
          <c:spPr>
            <a:ln w="25400">
              <a:solidFill>
                <a:srgbClr val="969696"/>
              </a:solidFill>
              <a:prstDash val="lgDashDot"/>
            </a:ln>
          </c:spPr>
          <c:marker>
            <c:symbol val="none"/>
          </c:marker>
          <c:xVal>
            <c:numRef>
              <c:f>'frei 4'!$T$46:$T$97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'frei 4'!$U$46:$U$97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5C1C-44D1-BB66-C316B97BB422}"/>
            </c:ext>
          </c:extLst>
        </c:ser>
        <c:ser>
          <c:idx val="3"/>
          <c:order val="3"/>
          <c:tx>
            <c:v>Q95 No</c:v>
          </c:tx>
          <c:spPr>
            <a:ln w="12700">
              <a:solidFill>
                <a:srgbClr val="0000FF"/>
              </a:solidFill>
              <a:prstDash val="sysDash"/>
            </a:ln>
          </c:spPr>
          <c:marker>
            <c:symbol val="none"/>
          </c:marker>
          <c:xVal>
            <c:numRef>
              <c:f>'frei 4'!$U$3:$V$3</c:f>
              <c:numCache>
                <c:formatCode>0.000</c:formatCode>
                <c:ptCount val="2"/>
                <c:pt idx="0">
                  <c:v>0</c:v>
                </c:pt>
                <c:pt idx="1">
                  <c:v>0</c:v>
                </c:pt>
              </c:numCache>
            </c:numRef>
          </c:xVal>
          <c:yVal>
            <c:numRef>
              <c:f>'frei 4'!$U$2:$V$2</c:f>
              <c:numCache>
                <c:formatCode>General</c:formatCode>
                <c:ptCount val="2"/>
                <c:pt idx="0">
                  <c:v>0</c:v>
                </c:pt>
                <c:pt idx="1">
                  <c:v>1000</c:v>
                </c:pt>
              </c:numCache>
            </c:numRef>
          </c:yVal>
          <c:smooth val="0"/>
          <c:extLst>
            <c:ext xmlns:c16="http://schemas.microsoft.com/office/drawing/2014/chart" uri="{C3380CC4-5D6E-409C-BE32-E72D297353CC}">
              <c16:uniqueId val="{00000003-5C1C-44D1-BB66-C316B97BB422}"/>
            </c:ext>
          </c:extLst>
        </c:ser>
        <c:ser>
          <c:idx val="4"/>
          <c:order val="4"/>
          <c:tx>
            <c:v>Q95 Lo</c:v>
          </c:tx>
          <c:spPr>
            <a:ln w="12700">
              <a:solidFill>
                <a:srgbClr val="FF00FF"/>
              </a:solidFill>
              <a:prstDash val="sysDash"/>
            </a:ln>
          </c:spPr>
          <c:marker>
            <c:symbol val="none"/>
          </c:marker>
          <c:xVal>
            <c:numRef>
              <c:f>'frei 4'!$U$4:$V$4</c:f>
              <c:numCache>
                <c:formatCode>0.000</c:formatCode>
                <c:ptCount val="2"/>
                <c:pt idx="0">
                  <c:v>0</c:v>
                </c:pt>
                <c:pt idx="1">
                  <c:v>0</c:v>
                </c:pt>
              </c:numCache>
            </c:numRef>
          </c:xVal>
          <c:yVal>
            <c:numRef>
              <c:f>'frei 4'!$U$2:$V$2</c:f>
              <c:numCache>
                <c:formatCode>General</c:formatCode>
                <c:ptCount val="2"/>
                <c:pt idx="0">
                  <c:v>0</c:v>
                </c:pt>
                <c:pt idx="1">
                  <c:v>1000</c:v>
                </c:pt>
              </c:numCache>
            </c:numRef>
          </c:yVal>
          <c:smooth val="0"/>
          <c:extLst>
            <c:ext xmlns:c16="http://schemas.microsoft.com/office/drawing/2014/chart" uri="{C3380CC4-5D6E-409C-BE32-E72D297353CC}">
              <c16:uniqueId val="{00000004-5C1C-44D1-BB66-C316B97BB422}"/>
            </c:ext>
          </c:extLst>
        </c:ser>
        <c:ser>
          <c:idx val="5"/>
          <c:order val="5"/>
          <c:tx>
            <c:v>Q98 No</c:v>
          </c:tx>
          <c:spPr>
            <a:ln w="12700">
              <a:solidFill>
                <a:srgbClr val="0000FF"/>
              </a:solidFill>
              <a:prstDash val="solid"/>
            </a:ln>
          </c:spPr>
          <c:marker>
            <c:symbol val="none"/>
          </c:marker>
          <c:xVal>
            <c:numRef>
              <c:f>'frei 4'!$U$5:$V$5</c:f>
              <c:numCache>
                <c:formatCode>0.000</c:formatCode>
                <c:ptCount val="2"/>
                <c:pt idx="0">
                  <c:v>0</c:v>
                </c:pt>
                <c:pt idx="1">
                  <c:v>0</c:v>
                </c:pt>
              </c:numCache>
            </c:numRef>
          </c:xVal>
          <c:yVal>
            <c:numRef>
              <c:f>'frei 4'!$U$2:$V$2</c:f>
              <c:numCache>
                <c:formatCode>General</c:formatCode>
                <c:ptCount val="2"/>
                <c:pt idx="0">
                  <c:v>0</c:v>
                </c:pt>
                <c:pt idx="1">
                  <c:v>1000</c:v>
                </c:pt>
              </c:numCache>
            </c:numRef>
          </c:yVal>
          <c:smooth val="0"/>
          <c:extLst>
            <c:ext xmlns:c16="http://schemas.microsoft.com/office/drawing/2014/chart" uri="{C3380CC4-5D6E-409C-BE32-E72D297353CC}">
              <c16:uniqueId val="{00000005-5C1C-44D1-BB66-C316B97BB422}"/>
            </c:ext>
          </c:extLst>
        </c:ser>
        <c:ser>
          <c:idx val="6"/>
          <c:order val="6"/>
          <c:tx>
            <c:v>Q98 Lo</c:v>
          </c:tx>
          <c:spPr>
            <a:ln w="12700">
              <a:solidFill>
                <a:srgbClr val="FF00FF"/>
              </a:solidFill>
              <a:prstDash val="solid"/>
            </a:ln>
          </c:spPr>
          <c:marker>
            <c:symbol val="none"/>
          </c:marker>
          <c:xVal>
            <c:numRef>
              <c:f>'frei 4'!$U$6:$V$6</c:f>
              <c:numCache>
                <c:formatCode>0.000</c:formatCode>
                <c:ptCount val="2"/>
                <c:pt idx="0">
                  <c:v>0</c:v>
                </c:pt>
                <c:pt idx="1">
                  <c:v>0</c:v>
                </c:pt>
              </c:numCache>
            </c:numRef>
          </c:xVal>
          <c:yVal>
            <c:numRef>
              <c:f>'frei 4'!$U$2:$V$2</c:f>
              <c:numCache>
                <c:formatCode>General</c:formatCode>
                <c:ptCount val="2"/>
                <c:pt idx="0">
                  <c:v>0</c:v>
                </c:pt>
                <c:pt idx="1">
                  <c:v>1000</c:v>
                </c:pt>
              </c:numCache>
            </c:numRef>
          </c:yVal>
          <c:smooth val="0"/>
          <c:extLst>
            <c:ext xmlns:c16="http://schemas.microsoft.com/office/drawing/2014/chart" uri="{C3380CC4-5D6E-409C-BE32-E72D297353CC}">
              <c16:uniqueId val="{00000006-5C1C-44D1-BB66-C316B97BB422}"/>
            </c:ext>
          </c:extLst>
        </c:ser>
        <c:ser>
          <c:idx val="7"/>
          <c:order val="7"/>
          <c:tx>
            <c:v>Q95u</c:v>
          </c:tx>
          <c:spPr>
            <a:ln w="12700">
              <a:solidFill>
                <a:srgbClr val="0000FF"/>
              </a:solidFill>
              <a:prstDash val="sysDash"/>
            </a:ln>
          </c:spPr>
          <c:marker>
            <c:symbol val="none"/>
          </c:marker>
          <c:xVal>
            <c:numRef>
              <c:f>'frei 4'!$U$7:$V$7</c:f>
              <c:numCache>
                <c:formatCode>0.000</c:formatCode>
                <c:ptCount val="2"/>
                <c:pt idx="0">
                  <c:v>0</c:v>
                </c:pt>
                <c:pt idx="1">
                  <c:v>0</c:v>
                </c:pt>
              </c:numCache>
            </c:numRef>
          </c:xVal>
          <c:yVal>
            <c:numRef>
              <c:f>'frei 4'!$U$2:$V$2</c:f>
              <c:numCache>
                <c:formatCode>General</c:formatCode>
                <c:ptCount val="2"/>
                <c:pt idx="0">
                  <c:v>0</c:v>
                </c:pt>
                <c:pt idx="1">
                  <c:v>1000</c:v>
                </c:pt>
              </c:numCache>
            </c:numRef>
          </c:yVal>
          <c:smooth val="0"/>
          <c:extLst>
            <c:ext xmlns:c16="http://schemas.microsoft.com/office/drawing/2014/chart" uri="{C3380CC4-5D6E-409C-BE32-E72D297353CC}">
              <c16:uniqueId val="{00000007-5C1C-44D1-BB66-C316B97BB422}"/>
            </c:ext>
          </c:extLst>
        </c:ser>
        <c:ser>
          <c:idx val="8"/>
          <c:order val="8"/>
          <c:tx>
            <c:v>Q95u Lo</c:v>
          </c:tx>
          <c:spPr>
            <a:ln w="12700">
              <a:solidFill>
                <a:srgbClr val="FF00FF"/>
              </a:solidFill>
              <a:prstDash val="sysDash"/>
            </a:ln>
          </c:spPr>
          <c:marker>
            <c:symbol val="none"/>
          </c:marker>
          <c:xVal>
            <c:numRef>
              <c:f>'frei 4'!$U$8:$V$8</c:f>
              <c:numCache>
                <c:formatCode>0.000</c:formatCode>
                <c:ptCount val="2"/>
                <c:pt idx="0">
                  <c:v>0</c:v>
                </c:pt>
                <c:pt idx="1">
                  <c:v>0</c:v>
                </c:pt>
              </c:numCache>
            </c:numRef>
          </c:xVal>
          <c:yVal>
            <c:numRef>
              <c:f>'frei 4'!$U$2:$V$2</c:f>
              <c:numCache>
                <c:formatCode>General</c:formatCode>
                <c:ptCount val="2"/>
                <c:pt idx="0">
                  <c:v>0</c:v>
                </c:pt>
                <c:pt idx="1">
                  <c:v>1000</c:v>
                </c:pt>
              </c:numCache>
            </c:numRef>
          </c:yVal>
          <c:smooth val="0"/>
          <c:extLst>
            <c:ext xmlns:c16="http://schemas.microsoft.com/office/drawing/2014/chart" uri="{C3380CC4-5D6E-409C-BE32-E72D297353CC}">
              <c16:uniqueId val="{00000008-5C1C-44D1-BB66-C316B97BB422}"/>
            </c:ext>
          </c:extLst>
        </c:ser>
        <c:ser>
          <c:idx val="9"/>
          <c:order val="9"/>
          <c:tx>
            <c:v>Median</c:v>
          </c:tx>
          <c:spPr>
            <a:ln w="12700">
              <a:solidFill>
                <a:srgbClr val="969696"/>
              </a:solidFill>
              <a:prstDash val="lgDashDotDot"/>
            </a:ln>
          </c:spPr>
          <c:marker>
            <c:symbol val="none"/>
          </c:marker>
          <c:xVal>
            <c:numRef>
              <c:f>'frei 4'!$U$11:$V$11</c:f>
              <c:numCache>
                <c:formatCode>0.000</c:formatCode>
                <c:ptCount val="2"/>
                <c:pt idx="0">
                  <c:v>0</c:v>
                </c:pt>
                <c:pt idx="1">
                  <c:v>0</c:v>
                </c:pt>
              </c:numCache>
            </c:numRef>
          </c:xVal>
          <c:yVal>
            <c:numRef>
              <c:f>'frei 4'!$U$2:$V$2</c:f>
              <c:numCache>
                <c:formatCode>General</c:formatCode>
                <c:ptCount val="2"/>
                <c:pt idx="0">
                  <c:v>0</c:v>
                </c:pt>
                <c:pt idx="1">
                  <c:v>1000</c:v>
                </c:pt>
              </c:numCache>
            </c:numRef>
          </c:yVal>
          <c:smooth val="0"/>
          <c:extLst>
            <c:ext xmlns:c16="http://schemas.microsoft.com/office/drawing/2014/chart" uri="{C3380CC4-5D6E-409C-BE32-E72D297353CC}">
              <c16:uniqueId val="{00000009-5C1C-44D1-BB66-C316B97BB422}"/>
            </c:ext>
          </c:extLst>
        </c:ser>
        <c:dLbls>
          <c:showLegendKey val="0"/>
          <c:showVal val="0"/>
          <c:showCatName val="0"/>
          <c:showSerName val="0"/>
          <c:showPercent val="0"/>
          <c:showBubbleSize val="0"/>
        </c:dLbls>
        <c:axId val="156939008"/>
        <c:axId val="156940544"/>
      </c:scatterChart>
      <c:valAx>
        <c:axId val="156939008"/>
        <c:scaling>
          <c:orientation val="minMax"/>
          <c:max val="1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56940544"/>
        <c:crosses val="autoZero"/>
        <c:crossBetween val="midCat"/>
        <c:majorUnit val="20"/>
        <c:minorUnit val="5"/>
      </c:valAx>
      <c:valAx>
        <c:axId val="156940544"/>
        <c:scaling>
          <c:orientation val="minMax"/>
          <c:max val="0.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56939008"/>
        <c:crosses val="autoZero"/>
        <c:crossBetween val="midCat"/>
        <c:majorUnit val="5.000000000000001E-2"/>
        <c:minorUnit val="1.0000000000000002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'frei 4'!$M$3:$M$252</c:f>
              <c:numCache>
                <c:formatCode>d/m/yyyy;@</c:formatCode>
                <c:ptCount val="250"/>
              </c:numCache>
            </c:numRef>
          </c:xVal>
          <c:yVal>
            <c:numRef>
              <c:f>'frei 4'!$N$3:$N$252</c:f>
              <c:numCache>
                <c:formatCode>General</c:formatCode>
                <c:ptCount val="250"/>
              </c:numCache>
            </c:numRef>
          </c:yVal>
          <c:smooth val="0"/>
          <c:extLst>
            <c:ext xmlns:c16="http://schemas.microsoft.com/office/drawing/2014/chart" uri="{C3380CC4-5D6E-409C-BE32-E72D297353CC}">
              <c16:uniqueId val="{00000000-10A0-476D-9D0F-F6F42EF740AF}"/>
            </c:ext>
          </c:extLst>
        </c:ser>
        <c:ser>
          <c:idx val="1"/>
          <c:order val="1"/>
          <c:tx>
            <c:v>Q95</c:v>
          </c:tx>
          <c:spPr>
            <a:ln w="12700">
              <a:solidFill>
                <a:srgbClr val="0000FF"/>
              </a:solidFill>
              <a:prstDash val="sysDash"/>
            </a:ln>
          </c:spPr>
          <c:marker>
            <c:symbol val="none"/>
          </c:marker>
          <c:xVal>
            <c:numRef>
              <c:f>'frei 4'!$E$57:$E$58</c:f>
              <c:numCache>
                <c:formatCode>m/d/yyyy</c:formatCode>
                <c:ptCount val="2"/>
                <c:pt idx="0">
                  <c:v>1</c:v>
                </c:pt>
                <c:pt idx="1">
                  <c:v>73415</c:v>
                </c:pt>
              </c:numCache>
            </c:numRef>
          </c:xVal>
          <c:yVal>
            <c:numRef>
              <c:f>'frei 4'!$F$57:$F$58</c:f>
              <c:numCache>
                <c:formatCode>0.000</c:formatCode>
                <c:ptCount val="2"/>
                <c:pt idx="0">
                  <c:v>0</c:v>
                </c:pt>
                <c:pt idx="1">
                  <c:v>0</c:v>
                </c:pt>
              </c:numCache>
            </c:numRef>
          </c:yVal>
          <c:smooth val="0"/>
          <c:extLst>
            <c:ext xmlns:c16="http://schemas.microsoft.com/office/drawing/2014/chart" uri="{C3380CC4-5D6E-409C-BE32-E72D297353CC}">
              <c16:uniqueId val="{00000001-10A0-476D-9D0F-F6F42EF740AF}"/>
            </c:ext>
          </c:extLst>
        </c:ser>
        <c:ser>
          <c:idx val="4"/>
          <c:order val="2"/>
          <c:tx>
            <c:v>Q95Log</c:v>
          </c:tx>
          <c:spPr>
            <a:ln w="12700">
              <a:solidFill>
                <a:srgbClr val="FF00FF"/>
              </a:solidFill>
              <a:prstDash val="sysDash"/>
            </a:ln>
          </c:spPr>
          <c:marker>
            <c:symbol val="none"/>
          </c:marker>
          <c:xVal>
            <c:numRef>
              <c:f>'frei 4'!$E$57:$E$58</c:f>
              <c:numCache>
                <c:formatCode>m/d/yyyy</c:formatCode>
                <c:ptCount val="2"/>
                <c:pt idx="0">
                  <c:v>1</c:v>
                </c:pt>
                <c:pt idx="1">
                  <c:v>73415</c:v>
                </c:pt>
              </c:numCache>
            </c:numRef>
          </c:xVal>
          <c:yVal>
            <c:numRef>
              <c:f>'frei 4'!$J$57:$J$58</c:f>
              <c:numCache>
                <c:formatCode>0.000</c:formatCode>
                <c:ptCount val="2"/>
                <c:pt idx="0">
                  <c:v>0</c:v>
                </c:pt>
                <c:pt idx="1">
                  <c:v>0</c:v>
                </c:pt>
              </c:numCache>
            </c:numRef>
          </c:yVal>
          <c:smooth val="0"/>
          <c:extLst>
            <c:ext xmlns:c16="http://schemas.microsoft.com/office/drawing/2014/chart" uri="{C3380CC4-5D6E-409C-BE32-E72D297353CC}">
              <c16:uniqueId val="{00000002-10A0-476D-9D0F-F6F42EF740AF}"/>
            </c:ext>
          </c:extLst>
        </c:ser>
        <c:ser>
          <c:idx val="9"/>
          <c:order val="3"/>
          <c:tx>
            <c:v>vT</c:v>
          </c:tx>
          <c:spPr>
            <a:ln w="12700">
              <a:solidFill>
                <a:srgbClr val="808080"/>
              </a:solidFill>
              <a:prstDash val="sysDash"/>
            </a:ln>
          </c:spPr>
          <c:marker>
            <c:symbol val="none"/>
          </c:marker>
          <c:xVal>
            <c:numRef>
              <c:f>'frei 4'!$G$122:$G$123</c:f>
              <c:numCache>
                <c:formatCode>d/m/yyyy;@</c:formatCode>
                <c:ptCount val="2"/>
                <c:pt idx="0">
                  <c:v>0</c:v>
                </c:pt>
                <c:pt idx="1">
                  <c:v>0</c:v>
                </c:pt>
              </c:numCache>
            </c:numRef>
          </c:xVal>
          <c:yVal>
            <c:numRef>
              <c:f>'frei 4'!$I$122:$I$123</c:f>
              <c:numCache>
                <c:formatCode>General</c:formatCode>
                <c:ptCount val="2"/>
                <c:pt idx="0">
                  <c:v>0</c:v>
                </c:pt>
                <c:pt idx="1">
                  <c:v>0</c:v>
                </c:pt>
              </c:numCache>
            </c:numRef>
          </c:yVal>
          <c:smooth val="0"/>
          <c:extLst>
            <c:ext xmlns:c16="http://schemas.microsoft.com/office/drawing/2014/chart" uri="{C3380CC4-5D6E-409C-BE32-E72D297353CC}">
              <c16:uniqueId val="{00000003-10A0-476D-9D0F-F6F42EF740AF}"/>
            </c:ext>
          </c:extLst>
        </c:ser>
        <c:ser>
          <c:idx val="10"/>
          <c:order val="4"/>
          <c:tx>
            <c:v>Trend</c:v>
          </c:tx>
          <c:spPr>
            <a:ln w="12700">
              <a:solidFill>
                <a:srgbClr val="808080"/>
              </a:solidFill>
              <a:prstDash val="solid"/>
            </a:ln>
          </c:spPr>
          <c:marker>
            <c:symbol val="none"/>
          </c:marker>
          <c:xVal>
            <c:numRef>
              <c:f>'frei 4'!$G$122:$G$123</c:f>
              <c:numCache>
                <c:formatCode>d/m/yyyy;@</c:formatCode>
                <c:ptCount val="2"/>
                <c:pt idx="0">
                  <c:v>0</c:v>
                </c:pt>
                <c:pt idx="1">
                  <c:v>0</c:v>
                </c:pt>
              </c:numCache>
            </c:numRef>
          </c:xVal>
          <c:yVal>
            <c:numRef>
              <c:f>'frei 4'!$J$122:$J$123</c:f>
              <c:numCache>
                <c:formatCode>General</c:formatCode>
                <c:ptCount val="2"/>
                <c:pt idx="0">
                  <c:v>0</c:v>
                </c:pt>
                <c:pt idx="1">
                  <c:v>0</c:v>
                </c:pt>
              </c:numCache>
            </c:numRef>
          </c:yVal>
          <c:smooth val="0"/>
          <c:extLst>
            <c:ext xmlns:c16="http://schemas.microsoft.com/office/drawing/2014/chart" uri="{C3380CC4-5D6E-409C-BE32-E72D297353CC}">
              <c16:uniqueId val="{00000004-10A0-476D-9D0F-F6F42EF740AF}"/>
            </c:ext>
          </c:extLst>
        </c:ser>
        <c:ser>
          <c:idx val="2"/>
          <c:order val="5"/>
          <c:tx>
            <c:v>Q95u</c:v>
          </c:tx>
          <c:spPr>
            <a:ln w="12700">
              <a:solidFill>
                <a:srgbClr val="0000FF"/>
              </a:solidFill>
              <a:prstDash val="sysDash"/>
            </a:ln>
          </c:spPr>
          <c:marker>
            <c:symbol val="none"/>
          </c:marker>
          <c:xVal>
            <c:numRef>
              <c:f>'frei 4'!$E$57:$E$58</c:f>
              <c:numCache>
                <c:formatCode>m/d/yyyy</c:formatCode>
                <c:ptCount val="2"/>
                <c:pt idx="0">
                  <c:v>1</c:v>
                </c:pt>
                <c:pt idx="1">
                  <c:v>73415</c:v>
                </c:pt>
              </c:numCache>
            </c:numRef>
          </c:xVal>
          <c:yVal>
            <c:numRef>
              <c:f>'frei 4'!$G$57:$G$58</c:f>
              <c:numCache>
                <c:formatCode>0.000</c:formatCode>
                <c:ptCount val="2"/>
                <c:pt idx="0">
                  <c:v>0</c:v>
                </c:pt>
                <c:pt idx="1">
                  <c:v>0</c:v>
                </c:pt>
              </c:numCache>
            </c:numRef>
          </c:yVal>
          <c:smooth val="0"/>
          <c:extLst>
            <c:ext xmlns:c16="http://schemas.microsoft.com/office/drawing/2014/chart" uri="{C3380CC4-5D6E-409C-BE32-E72D297353CC}">
              <c16:uniqueId val="{00000005-10A0-476D-9D0F-F6F42EF740AF}"/>
            </c:ext>
          </c:extLst>
        </c:ser>
        <c:ser>
          <c:idx val="3"/>
          <c:order val="6"/>
          <c:tx>
            <c:v>Q98</c:v>
          </c:tx>
          <c:spPr>
            <a:ln w="12700">
              <a:solidFill>
                <a:srgbClr val="0000FF"/>
              </a:solidFill>
              <a:prstDash val="solid"/>
            </a:ln>
          </c:spPr>
          <c:marker>
            <c:symbol val="none"/>
          </c:marker>
          <c:xVal>
            <c:numRef>
              <c:f>'frei 4'!$E$57:$E$58</c:f>
              <c:numCache>
                <c:formatCode>m/d/yyyy</c:formatCode>
                <c:ptCount val="2"/>
                <c:pt idx="0">
                  <c:v>1</c:v>
                </c:pt>
                <c:pt idx="1">
                  <c:v>73415</c:v>
                </c:pt>
              </c:numCache>
            </c:numRef>
          </c:xVal>
          <c:yVal>
            <c:numRef>
              <c:f>'frei 4'!$H$57:$H$58</c:f>
              <c:numCache>
                <c:formatCode>0.000</c:formatCode>
                <c:ptCount val="2"/>
                <c:pt idx="0">
                  <c:v>0</c:v>
                </c:pt>
                <c:pt idx="1">
                  <c:v>0</c:v>
                </c:pt>
              </c:numCache>
            </c:numRef>
          </c:yVal>
          <c:smooth val="0"/>
          <c:extLst>
            <c:ext xmlns:c16="http://schemas.microsoft.com/office/drawing/2014/chart" uri="{C3380CC4-5D6E-409C-BE32-E72D297353CC}">
              <c16:uniqueId val="{00000006-10A0-476D-9D0F-F6F42EF740AF}"/>
            </c:ext>
          </c:extLst>
        </c:ser>
        <c:ser>
          <c:idx val="6"/>
          <c:order val="7"/>
          <c:tx>
            <c:v>Q98Log</c:v>
          </c:tx>
          <c:spPr>
            <a:ln w="12700">
              <a:solidFill>
                <a:srgbClr val="CC00FF"/>
              </a:solidFill>
            </a:ln>
          </c:spPr>
          <c:marker>
            <c:symbol val="none"/>
          </c:marker>
          <c:xVal>
            <c:numRef>
              <c:f>'frei 4'!$E$57:$E$58</c:f>
              <c:numCache>
                <c:formatCode>m/d/yyyy</c:formatCode>
                <c:ptCount val="2"/>
                <c:pt idx="0">
                  <c:v>1</c:v>
                </c:pt>
                <c:pt idx="1">
                  <c:v>73415</c:v>
                </c:pt>
              </c:numCache>
            </c:numRef>
          </c:xVal>
          <c:yVal>
            <c:numRef>
              <c:f>'frei 4'!$K$57:$K$58</c:f>
              <c:numCache>
                <c:formatCode>0.000</c:formatCode>
                <c:ptCount val="2"/>
                <c:pt idx="0">
                  <c:v>0</c:v>
                </c:pt>
                <c:pt idx="1">
                  <c:v>0</c:v>
                </c:pt>
              </c:numCache>
            </c:numRef>
          </c:yVal>
          <c:smooth val="0"/>
          <c:extLst>
            <c:ext xmlns:c16="http://schemas.microsoft.com/office/drawing/2014/chart" uri="{C3380CC4-5D6E-409C-BE32-E72D297353CC}">
              <c16:uniqueId val="{00000007-10A0-476D-9D0F-F6F42EF740AF}"/>
            </c:ext>
          </c:extLst>
        </c:ser>
        <c:dLbls>
          <c:showLegendKey val="0"/>
          <c:showVal val="0"/>
          <c:showCatName val="0"/>
          <c:showSerName val="0"/>
          <c:showPercent val="0"/>
          <c:showBubbleSize val="0"/>
        </c:dLbls>
        <c:axId val="158886912"/>
        <c:axId val="158900992"/>
      </c:scatterChart>
      <c:valAx>
        <c:axId val="158886912"/>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00"/>
            </a:pPr>
            <a:endParaRPr lang="de-DE"/>
          </a:p>
        </c:txPr>
        <c:crossAx val="158900992"/>
        <c:crossesAt val="0"/>
        <c:crossBetween val="midCat"/>
        <c:majorUnit val="1461"/>
        <c:minorUnit val="365.25"/>
      </c:valAx>
      <c:valAx>
        <c:axId val="158900992"/>
        <c:scaling>
          <c:orientation val="minMax"/>
          <c:max val="1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58886912"/>
        <c:crossesAt val="0"/>
        <c:crossBetween val="midCat"/>
        <c:majorUnit val="20"/>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25698324022353E-2"/>
          <c:y val="5.5555699083630651E-2"/>
          <c:w val="0.88687150837988826"/>
          <c:h val="0.83862650521480553"/>
        </c:manualLayout>
      </c:layout>
      <c:scatterChart>
        <c:scatterStyle val="lineMarker"/>
        <c:varyColors val="0"/>
        <c:ser>
          <c:idx val="0"/>
          <c:order val="0"/>
          <c:tx>
            <c:v>Normalverteilung</c:v>
          </c:tx>
          <c:spPr>
            <a:ln w="25400">
              <a:solidFill>
                <a:srgbClr val="0000FF"/>
              </a:solidFill>
              <a:prstDash val="solid"/>
            </a:ln>
          </c:spPr>
          <c:marker>
            <c:symbol val="none"/>
          </c:marker>
          <c:xVal>
            <c:numRef>
              <c:f>'frei 5'!$F$63:$F$113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5'!$G$63:$G$113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4072-42EC-A276-36E9BF4B3D6F}"/>
            </c:ext>
          </c:extLst>
        </c:ser>
        <c:ser>
          <c:idx val="1"/>
          <c:order val="1"/>
          <c:tx>
            <c:v>LogNormalverteilung</c:v>
          </c:tx>
          <c:spPr>
            <a:ln w="25400">
              <a:solidFill>
                <a:srgbClr val="FF00FF"/>
              </a:solidFill>
              <a:prstDash val="solid"/>
            </a:ln>
          </c:spPr>
          <c:marker>
            <c:symbol val="none"/>
          </c:marker>
          <c:xVal>
            <c:numRef>
              <c:f>'frei 5'!$I$63:$I$113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xVal>
          <c:yVal>
            <c:numRef>
              <c:f>'frei 5'!$J$63:$J$113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4072-42EC-A276-36E9BF4B3D6F}"/>
            </c:ext>
          </c:extLst>
        </c:ser>
        <c:ser>
          <c:idx val="2"/>
          <c:order val="2"/>
          <c:tx>
            <c:v>Histogramm</c:v>
          </c:tx>
          <c:spPr>
            <a:ln w="25400">
              <a:solidFill>
                <a:srgbClr val="969696"/>
              </a:solidFill>
              <a:prstDash val="lgDashDot"/>
            </a:ln>
          </c:spPr>
          <c:marker>
            <c:symbol val="none"/>
          </c:marker>
          <c:xVal>
            <c:numRef>
              <c:f>'frei 5'!$T$46:$T$97</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xVal>
          <c:yVal>
            <c:numRef>
              <c:f>'frei 5'!$U$46:$U$97</c:f>
              <c:numCache>
                <c:formatCode>0.0000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4072-42EC-A276-36E9BF4B3D6F}"/>
            </c:ext>
          </c:extLst>
        </c:ser>
        <c:ser>
          <c:idx val="3"/>
          <c:order val="3"/>
          <c:tx>
            <c:v>Q95 No</c:v>
          </c:tx>
          <c:spPr>
            <a:ln w="12700">
              <a:solidFill>
                <a:srgbClr val="0000FF"/>
              </a:solidFill>
              <a:prstDash val="sysDash"/>
            </a:ln>
          </c:spPr>
          <c:marker>
            <c:symbol val="none"/>
          </c:marker>
          <c:xVal>
            <c:numRef>
              <c:f>'frei 5'!$U$3:$V$3</c:f>
              <c:numCache>
                <c:formatCode>0.000</c:formatCode>
                <c:ptCount val="2"/>
                <c:pt idx="0">
                  <c:v>0</c:v>
                </c:pt>
                <c:pt idx="1">
                  <c:v>0</c:v>
                </c:pt>
              </c:numCache>
            </c:numRef>
          </c:xVal>
          <c:yVal>
            <c:numRef>
              <c:f>'frei 5'!$U$2:$V$2</c:f>
              <c:numCache>
                <c:formatCode>General</c:formatCode>
                <c:ptCount val="2"/>
                <c:pt idx="0">
                  <c:v>0</c:v>
                </c:pt>
                <c:pt idx="1">
                  <c:v>1000</c:v>
                </c:pt>
              </c:numCache>
            </c:numRef>
          </c:yVal>
          <c:smooth val="0"/>
          <c:extLst>
            <c:ext xmlns:c16="http://schemas.microsoft.com/office/drawing/2014/chart" uri="{C3380CC4-5D6E-409C-BE32-E72D297353CC}">
              <c16:uniqueId val="{00000003-4072-42EC-A276-36E9BF4B3D6F}"/>
            </c:ext>
          </c:extLst>
        </c:ser>
        <c:ser>
          <c:idx val="4"/>
          <c:order val="4"/>
          <c:tx>
            <c:v>Q95 Lo</c:v>
          </c:tx>
          <c:spPr>
            <a:ln w="12700">
              <a:solidFill>
                <a:srgbClr val="FF00FF"/>
              </a:solidFill>
              <a:prstDash val="sysDash"/>
            </a:ln>
          </c:spPr>
          <c:marker>
            <c:symbol val="none"/>
          </c:marker>
          <c:xVal>
            <c:numRef>
              <c:f>'frei 5'!$U$4:$V$4</c:f>
              <c:numCache>
                <c:formatCode>0.000</c:formatCode>
                <c:ptCount val="2"/>
                <c:pt idx="0">
                  <c:v>0</c:v>
                </c:pt>
                <c:pt idx="1">
                  <c:v>0</c:v>
                </c:pt>
              </c:numCache>
            </c:numRef>
          </c:xVal>
          <c:yVal>
            <c:numRef>
              <c:f>'frei 5'!$U$2:$V$2</c:f>
              <c:numCache>
                <c:formatCode>General</c:formatCode>
                <c:ptCount val="2"/>
                <c:pt idx="0">
                  <c:v>0</c:v>
                </c:pt>
                <c:pt idx="1">
                  <c:v>1000</c:v>
                </c:pt>
              </c:numCache>
            </c:numRef>
          </c:yVal>
          <c:smooth val="0"/>
          <c:extLst>
            <c:ext xmlns:c16="http://schemas.microsoft.com/office/drawing/2014/chart" uri="{C3380CC4-5D6E-409C-BE32-E72D297353CC}">
              <c16:uniqueId val="{00000004-4072-42EC-A276-36E9BF4B3D6F}"/>
            </c:ext>
          </c:extLst>
        </c:ser>
        <c:ser>
          <c:idx val="5"/>
          <c:order val="5"/>
          <c:tx>
            <c:v>Q98 No</c:v>
          </c:tx>
          <c:spPr>
            <a:ln w="12700">
              <a:solidFill>
                <a:srgbClr val="0000FF"/>
              </a:solidFill>
              <a:prstDash val="solid"/>
            </a:ln>
          </c:spPr>
          <c:marker>
            <c:symbol val="none"/>
          </c:marker>
          <c:xVal>
            <c:numRef>
              <c:f>'frei 5'!$U$5:$V$5</c:f>
              <c:numCache>
                <c:formatCode>0.000</c:formatCode>
                <c:ptCount val="2"/>
                <c:pt idx="0">
                  <c:v>0</c:v>
                </c:pt>
                <c:pt idx="1">
                  <c:v>0</c:v>
                </c:pt>
              </c:numCache>
            </c:numRef>
          </c:xVal>
          <c:yVal>
            <c:numRef>
              <c:f>'frei 5'!$U$2:$V$2</c:f>
              <c:numCache>
                <c:formatCode>General</c:formatCode>
                <c:ptCount val="2"/>
                <c:pt idx="0">
                  <c:v>0</c:v>
                </c:pt>
                <c:pt idx="1">
                  <c:v>1000</c:v>
                </c:pt>
              </c:numCache>
            </c:numRef>
          </c:yVal>
          <c:smooth val="0"/>
          <c:extLst>
            <c:ext xmlns:c16="http://schemas.microsoft.com/office/drawing/2014/chart" uri="{C3380CC4-5D6E-409C-BE32-E72D297353CC}">
              <c16:uniqueId val="{00000005-4072-42EC-A276-36E9BF4B3D6F}"/>
            </c:ext>
          </c:extLst>
        </c:ser>
        <c:ser>
          <c:idx val="6"/>
          <c:order val="6"/>
          <c:tx>
            <c:v>Q98 Lo</c:v>
          </c:tx>
          <c:spPr>
            <a:ln w="12700">
              <a:solidFill>
                <a:srgbClr val="FF00FF"/>
              </a:solidFill>
              <a:prstDash val="solid"/>
            </a:ln>
          </c:spPr>
          <c:marker>
            <c:symbol val="none"/>
          </c:marker>
          <c:xVal>
            <c:numRef>
              <c:f>'frei 5'!$U$6:$V$6</c:f>
              <c:numCache>
                <c:formatCode>0.000</c:formatCode>
                <c:ptCount val="2"/>
                <c:pt idx="0">
                  <c:v>0</c:v>
                </c:pt>
                <c:pt idx="1">
                  <c:v>0</c:v>
                </c:pt>
              </c:numCache>
            </c:numRef>
          </c:xVal>
          <c:yVal>
            <c:numRef>
              <c:f>'frei 5'!$U$2:$V$2</c:f>
              <c:numCache>
                <c:formatCode>General</c:formatCode>
                <c:ptCount val="2"/>
                <c:pt idx="0">
                  <c:v>0</c:v>
                </c:pt>
                <c:pt idx="1">
                  <c:v>1000</c:v>
                </c:pt>
              </c:numCache>
            </c:numRef>
          </c:yVal>
          <c:smooth val="0"/>
          <c:extLst>
            <c:ext xmlns:c16="http://schemas.microsoft.com/office/drawing/2014/chart" uri="{C3380CC4-5D6E-409C-BE32-E72D297353CC}">
              <c16:uniqueId val="{00000006-4072-42EC-A276-36E9BF4B3D6F}"/>
            </c:ext>
          </c:extLst>
        </c:ser>
        <c:ser>
          <c:idx val="7"/>
          <c:order val="7"/>
          <c:tx>
            <c:v>Q95u</c:v>
          </c:tx>
          <c:spPr>
            <a:ln w="12700">
              <a:solidFill>
                <a:srgbClr val="0000FF"/>
              </a:solidFill>
              <a:prstDash val="sysDash"/>
            </a:ln>
          </c:spPr>
          <c:marker>
            <c:symbol val="none"/>
          </c:marker>
          <c:xVal>
            <c:numRef>
              <c:f>'frei 5'!$U$7:$V$7</c:f>
              <c:numCache>
                <c:formatCode>0.000</c:formatCode>
                <c:ptCount val="2"/>
                <c:pt idx="0">
                  <c:v>0</c:v>
                </c:pt>
                <c:pt idx="1">
                  <c:v>0</c:v>
                </c:pt>
              </c:numCache>
            </c:numRef>
          </c:xVal>
          <c:yVal>
            <c:numRef>
              <c:f>'frei 5'!$U$2:$V$2</c:f>
              <c:numCache>
                <c:formatCode>General</c:formatCode>
                <c:ptCount val="2"/>
                <c:pt idx="0">
                  <c:v>0</c:v>
                </c:pt>
                <c:pt idx="1">
                  <c:v>1000</c:v>
                </c:pt>
              </c:numCache>
            </c:numRef>
          </c:yVal>
          <c:smooth val="0"/>
          <c:extLst>
            <c:ext xmlns:c16="http://schemas.microsoft.com/office/drawing/2014/chart" uri="{C3380CC4-5D6E-409C-BE32-E72D297353CC}">
              <c16:uniqueId val="{00000007-4072-42EC-A276-36E9BF4B3D6F}"/>
            </c:ext>
          </c:extLst>
        </c:ser>
        <c:ser>
          <c:idx val="8"/>
          <c:order val="8"/>
          <c:tx>
            <c:v>Q95u Lo</c:v>
          </c:tx>
          <c:spPr>
            <a:ln w="12700">
              <a:solidFill>
                <a:srgbClr val="FF00FF"/>
              </a:solidFill>
              <a:prstDash val="sysDash"/>
            </a:ln>
          </c:spPr>
          <c:marker>
            <c:symbol val="none"/>
          </c:marker>
          <c:xVal>
            <c:numRef>
              <c:f>'frei 5'!$U$8:$V$8</c:f>
              <c:numCache>
                <c:formatCode>0.000</c:formatCode>
                <c:ptCount val="2"/>
                <c:pt idx="0">
                  <c:v>0</c:v>
                </c:pt>
                <c:pt idx="1">
                  <c:v>0</c:v>
                </c:pt>
              </c:numCache>
            </c:numRef>
          </c:xVal>
          <c:yVal>
            <c:numRef>
              <c:f>'frei 5'!$U$2:$V$2</c:f>
              <c:numCache>
                <c:formatCode>General</c:formatCode>
                <c:ptCount val="2"/>
                <c:pt idx="0">
                  <c:v>0</c:v>
                </c:pt>
                <c:pt idx="1">
                  <c:v>1000</c:v>
                </c:pt>
              </c:numCache>
            </c:numRef>
          </c:yVal>
          <c:smooth val="0"/>
          <c:extLst>
            <c:ext xmlns:c16="http://schemas.microsoft.com/office/drawing/2014/chart" uri="{C3380CC4-5D6E-409C-BE32-E72D297353CC}">
              <c16:uniqueId val="{00000008-4072-42EC-A276-36E9BF4B3D6F}"/>
            </c:ext>
          </c:extLst>
        </c:ser>
        <c:ser>
          <c:idx val="9"/>
          <c:order val="9"/>
          <c:tx>
            <c:v>Median</c:v>
          </c:tx>
          <c:spPr>
            <a:ln w="12700">
              <a:solidFill>
                <a:srgbClr val="969696"/>
              </a:solidFill>
              <a:prstDash val="lgDashDotDot"/>
            </a:ln>
          </c:spPr>
          <c:marker>
            <c:symbol val="none"/>
          </c:marker>
          <c:xVal>
            <c:numRef>
              <c:f>'frei 5'!$U$11:$V$11</c:f>
              <c:numCache>
                <c:formatCode>0.000</c:formatCode>
                <c:ptCount val="2"/>
                <c:pt idx="0">
                  <c:v>0</c:v>
                </c:pt>
                <c:pt idx="1">
                  <c:v>0</c:v>
                </c:pt>
              </c:numCache>
            </c:numRef>
          </c:xVal>
          <c:yVal>
            <c:numRef>
              <c:f>'frei 5'!$U$2:$V$2</c:f>
              <c:numCache>
                <c:formatCode>General</c:formatCode>
                <c:ptCount val="2"/>
                <c:pt idx="0">
                  <c:v>0</c:v>
                </c:pt>
                <c:pt idx="1">
                  <c:v>1000</c:v>
                </c:pt>
              </c:numCache>
            </c:numRef>
          </c:yVal>
          <c:smooth val="0"/>
          <c:extLst>
            <c:ext xmlns:c16="http://schemas.microsoft.com/office/drawing/2014/chart" uri="{C3380CC4-5D6E-409C-BE32-E72D297353CC}">
              <c16:uniqueId val="{00000009-4072-42EC-A276-36E9BF4B3D6F}"/>
            </c:ext>
          </c:extLst>
        </c:ser>
        <c:dLbls>
          <c:showLegendKey val="0"/>
          <c:showVal val="0"/>
          <c:showCatName val="0"/>
          <c:showSerName val="0"/>
          <c:showPercent val="0"/>
          <c:showBubbleSize val="0"/>
        </c:dLbls>
        <c:axId val="160499968"/>
        <c:axId val="160505856"/>
      </c:scatterChart>
      <c:valAx>
        <c:axId val="160499968"/>
        <c:scaling>
          <c:orientation val="minMax"/>
          <c:max val="100"/>
          <c:min val="0"/>
        </c:scaling>
        <c:delete val="0"/>
        <c:axPos val="b"/>
        <c:numFmt formatCode="General" sourceLinked="1"/>
        <c:majorTickMark val="out"/>
        <c:minorTickMark val="in"/>
        <c:tickLblPos val="nextTo"/>
        <c:spPr>
          <a:ln w="3175">
            <a:solidFill>
              <a:srgbClr val="000000"/>
            </a:solidFill>
            <a:prstDash val="solid"/>
          </a:ln>
        </c:spPr>
        <c:txPr>
          <a:bodyPr rot="0" vert="horz"/>
          <a:lstStyle/>
          <a:p>
            <a:pPr>
              <a:defRPr/>
            </a:pPr>
            <a:endParaRPr lang="de-DE"/>
          </a:p>
        </c:txPr>
        <c:crossAx val="160505856"/>
        <c:crosses val="autoZero"/>
        <c:crossBetween val="midCat"/>
        <c:majorUnit val="20"/>
        <c:minorUnit val="5"/>
      </c:valAx>
      <c:valAx>
        <c:axId val="160505856"/>
        <c:scaling>
          <c:orientation val="minMax"/>
          <c:max val="0.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160499968"/>
        <c:crosses val="autoZero"/>
        <c:crossBetween val="midCat"/>
        <c:majorUnit val="5.000000000000001E-2"/>
        <c:minorUnit val="1.0000000000000002E-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34310624938966E-2"/>
          <c:y val="7.5000091552846135E-2"/>
          <c:w val="0.87972088049120445"/>
          <c:h val="0.81000098877073823"/>
        </c:manualLayout>
      </c:layout>
      <c:scatterChart>
        <c:scatterStyle val="lineMarker"/>
        <c:varyColors val="0"/>
        <c:ser>
          <c:idx val="0"/>
          <c:order val="0"/>
          <c:tx>
            <c:v>Zeitreihe</c:v>
          </c:tx>
          <c:spPr>
            <a:ln w="25400">
              <a:solidFill>
                <a:srgbClr val="000000"/>
              </a:solidFill>
              <a:prstDash val="solid"/>
            </a:ln>
          </c:spPr>
          <c:marker>
            <c:symbol val="none"/>
          </c:marker>
          <c:xVal>
            <c:numRef>
              <c:f>'frei 5'!$M$3:$M$252</c:f>
              <c:numCache>
                <c:formatCode>d/m/yyyy;@</c:formatCode>
                <c:ptCount val="250"/>
              </c:numCache>
            </c:numRef>
          </c:xVal>
          <c:yVal>
            <c:numRef>
              <c:f>'frei 5'!$N$3:$N$252</c:f>
              <c:numCache>
                <c:formatCode>General</c:formatCode>
                <c:ptCount val="250"/>
              </c:numCache>
            </c:numRef>
          </c:yVal>
          <c:smooth val="0"/>
          <c:extLst>
            <c:ext xmlns:c16="http://schemas.microsoft.com/office/drawing/2014/chart" uri="{C3380CC4-5D6E-409C-BE32-E72D297353CC}">
              <c16:uniqueId val="{00000000-8BFF-473C-ADC0-EFEFD6BAAD3C}"/>
            </c:ext>
          </c:extLst>
        </c:ser>
        <c:ser>
          <c:idx val="1"/>
          <c:order val="1"/>
          <c:tx>
            <c:v>Q95</c:v>
          </c:tx>
          <c:spPr>
            <a:ln w="12700">
              <a:solidFill>
                <a:srgbClr val="0000FF"/>
              </a:solidFill>
              <a:prstDash val="sysDash"/>
            </a:ln>
          </c:spPr>
          <c:marker>
            <c:symbol val="none"/>
          </c:marker>
          <c:xVal>
            <c:numRef>
              <c:f>'frei 5'!$E$57:$E$58</c:f>
              <c:numCache>
                <c:formatCode>m/d/yyyy</c:formatCode>
                <c:ptCount val="2"/>
                <c:pt idx="0">
                  <c:v>36161</c:v>
                </c:pt>
                <c:pt idx="1">
                  <c:v>44196</c:v>
                </c:pt>
              </c:numCache>
            </c:numRef>
          </c:xVal>
          <c:yVal>
            <c:numRef>
              <c:f>'frei 5'!$F$57:$F$58</c:f>
              <c:numCache>
                <c:formatCode>0.000</c:formatCode>
                <c:ptCount val="2"/>
                <c:pt idx="0">
                  <c:v>0</c:v>
                </c:pt>
                <c:pt idx="1">
                  <c:v>0</c:v>
                </c:pt>
              </c:numCache>
            </c:numRef>
          </c:yVal>
          <c:smooth val="0"/>
          <c:extLst>
            <c:ext xmlns:c16="http://schemas.microsoft.com/office/drawing/2014/chart" uri="{C3380CC4-5D6E-409C-BE32-E72D297353CC}">
              <c16:uniqueId val="{00000001-8BFF-473C-ADC0-EFEFD6BAAD3C}"/>
            </c:ext>
          </c:extLst>
        </c:ser>
        <c:ser>
          <c:idx val="4"/>
          <c:order val="2"/>
          <c:tx>
            <c:v>Q95Log</c:v>
          </c:tx>
          <c:spPr>
            <a:ln w="12700">
              <a:solidFill>
                <a:srgbClr val="FF00FF"/>
              </a:solidFill>
              <a:prstDash val="sysDash"/>
            </a:ln>
          </c:spPr>
          <c:marker>
            <c:symbol val="none"/>
          </c:marker>
          <c:xVal>
            <c:numRef>
              <c:f>'frei 5'!$E$57:$E$58</c:f>
              <c:numCache>
                <c:formatCode>m/d/yyyy</c:formatCode>
                <c:ptCount val="2"/>
                <c:pt idx="0">
                  <c:v>36161</c:v>
                </c:pt>
                <c:pt idx="1">
                  <c:v>44196</c:v>
                </c:pt>
              </c:numCache>
            </c:numRef>
          </c:xVal>
          <c:yVal>
            <c:numRef>
              <c:f>'frei 5'!$J$57:$J$58</c:f>
              <c:numCache>
                <c:formatCode>0.000</c:formatCode>
                <c:ptCount val="2"/>
                <c:pt idx="0">
                  <c:v>0</c:v>
                </c:pt>
                <c:pt idx="1">
                  <c:v>0</c:v>
                </c:pt>
              </c:numCache>
            </c:numRef>
          </c:yVal>
          <c:smooth val="0"/>
          <c:extLst>
            <c:ext xmlns:c16="http://schemas.microsoft.com/office/drawing/2014/chart" uri="{C3380CC4-5D6E-409C-BE32-E72D297353CC}">
              <c16:uniqueId val="{00000002-8BFF-473C-ADC0-EFEFD6BAAD3C}"/>
            </c:ext>
          </c:extLst>
        </c:ser>
        <c:ser>
          <c:idx val="9"/>
          <c:order val="3"/>
          <c:tx>
            <c:v>vT</c:v>
          </c:tx>
          <c:spPr>
            <a:ln w="12700">
              <a:solidFill>
                <a:srgbClr val="808080"/>
              </a:solidFill>
              <a:prstDash val="sysDash"/>
            </a:ln>
          </c:spPr>
          <c:marker>
            <c:symbol val="none"/>
          </c:marker>
          <c:xVal>
            <c:numRef>
              <c:f>'frei 5'!$G$122:$G$123</c:f>
              <c:numCache>
                <c:formatCode>d/m/yyyy;@</c:formatCode>
                <c:ptCount val="2"/>
                <c:pt idx="0">
                  <c:v>0</c:v>
                </c:pt>
                <c:pt idx="1">
                  <c:v>0</c:v>
                </c:pt>
              </c:numCache>
            </c:numRef>
          </c:xVal>
          <c:yVal>
            <c:numRef>
              <c:f>'frei 5'!$I$122:$I$123</c:f>
              <c:numCache>
                <c:formatCode>General</c:formatCode>
                <c:ptCount val="2"/>
                <c:pt idx="0">
                  <c:v>0</c:v>
                </c:pt>
                <c:pt idx="1">
                  <c:v>0</c:v>
                </c:pt>
              </c:numCache>
            </c:numRef>
          </c:yVal>
          <c:smooth val="0"/>
          <c:extLst>
            <c:ext xmlns:c16="http://schemas.microsoft.com/office/drawing/2014/chart" uri="{C3380CC4-5D6E-409C-BE32-E72D297353CC}">
              <c16:uniqueId val="{00000003-8BFF-473C-ADC0-EFEFD6BAAD3C}"/>
            </c:ext>
          </c:extLst>
        </c:ser>
        <c:ser>
          <c:idx val="10"/>
          <c:order val="4"/>
          <c:tx>
            <c:v>Trend</c:v>
          </c:tx>
          <c:spPr>
            <a:ln w="12700">
              <a:solidFill>
                <a:srgbClr val="808080"/>
              </a:solidFill>
              <a:prstDash val="solid"/>
            </a:ln>
          </c:spPr>
          <c:marker>
            <c:symbol val="none"/>
          </c:marker>
          <c:xVal>
            <c:numRef>
              <c:f>'frei 5'!$G$122:$G$123</c:f>
              <c:numCache>
                <c:formatCode>d/m/yyyy;@</c:formatCode>
                <c:ptCount val="2"/>
                <c:pt idx="0">
                  <c:v>0</c:v>
                </c:pt>
                <c:pt idx="1">
                  <c:v>0</c:v>
                </c:pt>
              </c:numCache>
            </c:numRef>
          </c:xVal>
          <c:yVal>
            <c:numRef>
              <c:f>'frei 5'!$J$122:$J$123</c:f>
              <c:numCache>
                <c:formatCode>General</c:formatCode>
                <c:ptCount val="2"/>
                <c:pt idx="0">
                  <c:v>0</c:v>
                </c:pt>
                <c:pt idx="1">
                  <c:v>0</c:v>
                </c:pt>
              </c:numCache>
            </c:numRef>
          </c:yVal>
          <c:smooth val="0"/>
          <c:extLst>
            <c:ext xmlns:c16="http://schemas.microsoft.com/office/drawing/2014/chart" uri="{C3380CC4-5D6E-409C-BE32-E72D297353CC}">
              <c16:uniqueId val="{00000004-8BFF-473C-ADC0-EFEFD6BAAD3C}"/>
            </c:ext>
          </c:extLst>
        </c:ser>
        <c:ser>
          <c:idx val="2"/>
          <c:order val="5"/>
          <c:tx>
            <c:v>Q95u</c:v>
          </c:tx>
          <c:spPr>
            <a:ln w="12700">
              <a:solidFill>
                <a:srgbClr val="0000FF"/>
              </a:solidFill>
              <a:prstDash val="sysDash"/>
            </a:ln>
          </c:spPr>
          <c:marker>
            <c:symbol val="none"/>
          </c:marker>
          <c:xVal>
            <c:numRef>
              <c:f>'frei 5'!$E$57:$E$58</c:f>
              <c:numCache>
                <c:formatCode>m/d/yyyy</c:formatCode>
                <c:ptCount val="2"/>
                <c:pt idx="0">
                  <c:v>36161</c:v>
                </c:pt>
                <c:pt idx="1">
                  <c:v>44196</c:v>
                </c:pt>
              </c:numCache>
            </c:numRef>
          </c:xVal>
          <c:yVal>
            <c:numRef>
              <c:f>'frei 5'!$G$57:$G$58</c:f>
              <c:numCache>
                <c:formatCode>0.000</c:formatCode>
                <c:ptCount val="2"/>
                <c:pt idx="0">
                  <c:v>0</c:v>
                </c:pt>
                <c:pt idx="1">
                  <c:v>0</c:v>
                </c:pt>
              </c:numCache>
            </c:numRef>
          </c:yVal>
          <c:smooth val="0"/>
          <c:extLst>
            <c:ext xmlns:c16="http://schemas.microsoft.com/office/drawing/2014/chart" uri="{C3380CC4-5D6E-409C-BE32-E72D297353CC}">
              <c16:uniqueId val="{00000005-8BFF-473C-ADC0-EFEFD6BAAD3C}"/>
            </c:ext>
          </c:extLst>
        </c:ser>
        <c:ser>
          <c:idx val="3"/>
          <c:order val="6"/>
          <c:tx>
            <c:v>Q98</c:v>
          </c:tx>
          <c:spPr>
            <a:ln w="12700">
              <a:solidFill>
                <a:srgbClr val="0000FF"/>
              </a:solidFill>
              <a:prstDash val="solid"/>
            </a:ln>
          </c:spPr>
          <c:marker>
            <c:symbol val="none"/>
          </c:marker>
          <c:xVal>
            <c:numRef>
              <c:f>'frei 5'!$E$57:$E$58</c:f>
              <c:numCache>
                <c:formatCode>m/d/yyyy</c:formatCode>
                <c:ptCount val="2"/>
                <c:pt idx="0">
                  <c:v>36161</c:v>
                </c:pt>
                <c:pt idx="1">
                  <c:v>44196</c:v>
                </c:pt>
              </c:numCache>
            </c:numRef>
          </c:xVal>
          <c:yVal>
            <c:numRef>
              <c:f>'frei 5'!$H$57:$H$58</c:f>
              <c:numCache>
                <c:formatCode>0.000</c:formatCode>
                <c:ptCount val="2"/>
                <c:pt idx="0">
                  <c:v>0</c:v>
                </c:pt>
                <c:pt idx="1">
                  <c:v>0</c:v>
                </c:pt>
              </c:numCache>
            </c:numRef>
          </c:yVal>
          <c:smooth val="0"/>
          <c:extLst>
            <c:ext xmlns:c16="http://schemas.microsoft.com/office/drawing/2014/chart" uri="{C3380CC4-5D6E-409C-BE32-E72D297353CC}">
              <c16:uniqueId val="{00000006-8BFF-473C-ADC0-EFEFD6BAAD3C}"/>
            </c:ext>
          </c:extLst>
        </c:ser>
        <c:ser>
          <c:idx val="6"/>
          <c:order val="7"/>
          <c:tx>
            <c:v>Q98Log</c:v>
          </c:tx>
          <c:spPr>
            <a:ln w="12700">
              <a:solidFill>
                <a:srgbClr val="CC00FF"/>
              </a:solidFill>
            </a:ln>
          </c:spPr>
          <c:marker>
            <c:symbol val="none"/>
          </c:marker>
          <c:xVal>
            <c:numRef>
              <c:f>'frei 5'!$E$57:$E$58</c:f>
              <c:numCache>
                <c:formatCode>m/d/yyyy</c:formatCode>
                <c:ptCount val="2"/>
                <c:pt idx="0">
                  <c:v>36161</c:v>
                </c:pt>
                <c:pt idx="1">
                  <c:v>44196</c:v>
                </c:pt>
              </c:numCache>
            </c:numRef>
          </c:xVal>
          <c:yVal>
            <c:numRef>
              <c:f>'frei 5'!$K$57:$K$58</c:f>
              <c:numCache>
                <c:formatCode>0.000</c:formatCode>
                <c:ptCount val="2"/>
                <c:pt idx="0">
                  <c:v>0</c:v>
                </c:pt>
                <c:pt idx="1">
                  <c:v>0</c:v>
                </c:pt>
              </c:numCache>
            </c:numRef>
          </c:yVal>
          <c:smooth val="0"/>
          <c:extLst>
            <c:ext xmlns:c16="http://schemas.microsoft.com/office/drawing/2014/chart" uri="{C3380CC4-5D6E-409C-BE32-E72D297353CC}">
              <c16:uniqueId val="{00000007-8BFF-473C-ADC0-EFEFD6BAAD3C}"/>
            </c:ext>
          </c:extLst>
        </c:ser>
        <c:dLbls>
          <c:showLegendKey val="0"/>
          <c:showVal val="0"/>
          <c:showCatName val="0"/>
          <c:showSerName val="0"/>
          <c:showPercent val="0"/>
          <c:showBubbleSize val="0"/>
        </c:dLbls>
        <c:axId val="160178944"/>
        <c:axId val="160180480"/>
      </c:scatterChart>
      <c:valAx>
        <c:axId val="160178944"/>
        <c:scaling>
          <c:orientation val="minMax"/>
          <c:max val="46022"/>
          <c:min val="35796"/>
        </c:scaling>
        <c:delete val="0"/>
        <c:axPos val="b"/>
        <c:numFmt formatCode="[$-407]mmm/\ yy;@" sourceLinked="0"/>
        <c:majorTickMark val="out"/>
        <c:minorTickMark val="in"/>
        <c:tickLblPos val="nextTo"/>
        <c:spPr>
          <a:ln w="3175">
            <a:solidFill>
              <a:srgbClr val="000000"/>
            </a:solidFill>
            <a:prstDash val="solid"/>
          </a:ln>
        </c:spPr>
        <c:txPr>
          <a:bodyPr rot="0" vert="horz"/>
          <a:lstStyle/>
          <a:p>
            <a:pPr>
              <a:defRPr sz="1100"/>
            </a:pPr>
            <a:endParaRPr lang="de-DE"/>
          </a:p>
        </c:txPr>
        <c:crossAx val="160180480"/>
        <c:crossesAt val="0"/>
        <c:crossBetween val="midCat"/>
        <c:majorUnit val="1461"/>
        <c:minorUnit val="365.25"/>
      </c:valAx>
      <c:valAx>
        <c:axId val="160180480"/>
        <c:scaling>
          <c:orientation val="minMax"/>
          <c:max val="100"/>
          <c:min val="0"/>
        </c:scaling>
        <c:delete val="0"/>
        <c:axPos val="l"/>
        <c:numFmt formatCode="General" sourceLinked="1"/>
        <c:majorTickMark val="out"/>
        <c:minorTickMark val="in"/>
        <c:tickLblPos val="nextTo"/>
        <c:spPr>
          <a:ln w="3175">
            <a:solidFill>
              <a:srgbClr val="000000"/>
            </a:solidFill>
            <a:prstDash val="solid"/>
          </a:ln>
        </c:spPr>
        <c:txPr>
          <a:bodyPr rot="0" vert="horz"/>
          <a:lstStyle/>
          <a:p>
            <a:pPr>
              <a:defRPr sz="1100"/>
            </a:pPr>
            <a:endParaRPr lang="de-DE"/>
          </a:p>
        </c:txPr>
        <c:crossAx val="160178944"/>
        <c:crossesAt val="0"/>
        <c:crossBetween val="midCat"/>
        <c:majorUnit val="20"/>
        <c:minorUnit val="5"/>
      </c:valAx>
      <c:spPr>
        <a:solidFill>
          <a:srgbClr val="FFFFFF"/>
        </a:solidFill>
        <a:ln w="12700">
          <a:solidFill>
            <a:srgbClr val="808080"/>
          </a:solidFill>
          <a:prstDash val="solid"/>
        </a:ln>
      </c:spPr>
    </c:plotArea>
    <c:legend>
      <c:legendPos val="r"/>
      <c:legendEntry>
        <c:idx val="0"/>
        <c:delete val="1"/>
      </c:legendEntry>
      <c:legendEntry>
        <c:idx val="3"/>
        <c:delete val="1"/>
      </c:legendEntry>
      <c:layout>
        <c:manualLayout>
          <c:xMode val="edge"/>
          <c:yMode val="edge"/>
          <c:x val="0.78881172749926753"/>
          <c:y val="3.7500045776423067E-2"/>
          <c:w val="0.13577333952624246"/>
          <c:h val="0.34126456692913387"/>
        </c:manualLayout>
      </c:layout>
      <c:overlay val="0"/>
      <c:spPr>
        <a:solidFill>
          <a:srgbClr val="FFFFFF"/>
        </a:solidFill>
        <a:ln w="3175">
          <a:solidFill>
            <a:srgbClr val="000000"/>
          </a:solidFill>
          <a:prstDash val="solid"/>
        </a:ln>
      </c:spPr>
    </c:legend>
    <c:plotVisOnly val="1"/>
    <c:dispBlanksAs val="gap"/>
    <c:showDLblsOverMax val="0"/>
  </c:chart>
  <c:spPr>
    <a:solidFill>
      <a:schemeClr val="bg2">
        <a:lumMod val="90000"/>
      </a:schemeClr>
    </a:solidFill>
    <a:ln w="3175">
      <a:solidFill>
        <a:srgbClr val="000000"/>
      </a:solidFill>
      <a:prstDash val="solid"/>
    </a:ln>
  </c:spPr>
  <c:txPr>
    <a:bodyPr/>
    <a:lstStyle/>
    <a:p>
      <a:pPr>
        <a:defRPr sz="1000" b="0" i="0" u="none" strike="noStrike" baseline="0">
          <a:solidFill>
            <a:sysClr val="windowText" lastClr="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1923076923077"/>
          <c:y val="9.2198900843932993E-2"/>
          <c:w val="0.80769230769230771"/>
          <c:h val="0.85106677702091993"/>
        </c:manualLayout>
      </c:layout>
      <c:scatterChart>
        <c:scatterStyle val="lineMarker"/>
        <c:varyColors val="0"/>
        <c:ser>
          <c:idx val="0"/>
          <c:order val="0"/>
          <c:tx>
            <c:v>Residuen</c:v>
          </c:tx>
          <c:spPr>
            <a:ln w="12700">
              <a:solidFill>
                <a:srgbClr val="808080"/>
              </a:solidFill>
              <a:prstDash val="solid"/>
            </a:ln>
          </c:spPr>
          <c:marker>
            <c:symbol val="diamond"/>
            <c:size val="3"/>
            <c:spPr>
              <a:solidFill>
                <a:srgbClr val="808080"/>
              </a:solidFill>
              <a:ln>
                <a:solidFill>
                  <a:srgbClr val="808080"/>
                </a:solidFill>
                <a:prstDash val="solid"/>
              </a:ln>
            </c:spPr>
          </c:marker>
          <c:xVal>
            <c:numRef>
              <c:f>'trend 1'!$P$3:$P$252</c:f>
              <c:numCache>
                <c:formatCode>d/m/yyyy;@</c:formatCode>
                <c:ptCount val="250"/>
              </c:numCache>
            </c:numRef>
          </c:xVal>
          <c:yVal>
            <c:numRef>
              <c:f>'trend 1'!$S$3:$S$252</c:f>
              <c:numCache>
                <c:formatCode>0.0000</c:formatCode>
                <c:ptCount val="2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numCache>
            </c:numRef>
          </c:yVal>
          <c:smooth val="0"/>
          <c:extLst>
            <c:ext xmlns:c16="http://schemas.microsoft.com/office/drawing/2014/chart" uri="{C3380CC4-5D6E-409C-BE32-E72D297353CC}">
              <c16:uniqueId val="{00000000-B701-404B-8571-7531B66EB2CC}"/>
            </c:ext>
          </c:extLst>
        </c:ser>
        <c:dLbls>
          <c:showLegendKey val="0"/>
          <c:showVal val="0"/>
          <c:showCatName val="0"/>
          <c:showSerName val="0"/>
          <c:showPercent val="0"/>
          <c:showBubbleSize val="0"/>
        </c:dLbls>
        <c:axId val="160256384"/>
        <c:axId val="160258304"/>
      </c:scatterChart>
      <c:valAx>
        <c:axId val="160256384"/>
        <c:scaling>
          <c:orientation val="minMax"/>
          <c:max val="39447"/>
          <c:min val="32874"/>
        </c:scaling>
        <c:delete val="0"/>
        <c:axPos val="b"/>
        <c:numFmt formatCode="[$-407]mmmmm\ yy;@" sourceLinked="0"/>
        <c:majorTickMark val="out"/>
        <c:minorTickMark val="in"/>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60258304"/>
        <c:crosses val="autoZero"/>
        <c:crossBetween val="midCat"/>
        <c:majorUnit val="1461"/>
        <c:minorUnit val="365.25"/>
      </c:valAx>
      <c:valAx>
        <c:axId val="160258304"/>
        <c:scaling>
          <c:orientation val="minMax"/>
          <c:max val="1"/>
          <c:min val="-1"/>
        </c:scaling>
        <c:delete val="0"/>
        <c:axPos val="l"/>
        <c:numFmt formatCode="0.0" sourceLinked="0"/>
        <c:majorTickMark val="in"/>
        <c:minorTickMark val="none"/>
        <c:tickLblPos val="nextTo"/>
        <c:spPr>
          <a:ln w="3175">
            <a:solidFill>
              <a:srgbClr val="000000"/>
            </a:solidFill>
            <a:prstDash val="solid"/>
          </a:ln>
        </c:spPr>
        <c:txPr>
          <a:bodyPr rot="0" vert="horz"/>
          <a:lstStyle/>
          <a:p>
            <a:pPr>
              <a:defRPr sz="1075" b="0" i="0" u="none" strike="noStrike" baseline="0">
                <a:solidFill>
                  <a:schemeClr val="tx1"/>
                </a:solidFill>
                <a:latin typeface="Arial"/>
                <a:ea typeface="Arial"/>
                <a:cs typeface="Arial"/>
              </a:defRPr>
            </a:pPr>
            <a:endParaRPr lang="de-DE"/>
          </a:p>
        </c:txPr>
        <c:crossAx val="160256384"/>
        <c:crosses val="autoZero"/>
        <c:crossBetween val="midCat"/>
        <c:majorUnit val="0.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98973042362001E-2"/>
          <c:y val="5.8787131222331111E-2"/>
          <c:w val="0.90115532734274706"/>
          <c:h val="0.85349565746341793"/>
        </c:manualLayout>
      </c:layout>
      <c:scatterChart>
        <c:scatterStyle val="lineMarker"/>
        <c:varyColors val="0"/>
        <c:ser>
          <c:idx val="0"/>
          <c:order val="0"/>
          <c:tx>
            <c:v>Zeitreihe</c:v>
          </c:tx>
          <c:spPr>
            <a:ln w="25400">
              <a:solidFill>
                <a:srgbClr val="000000"/>
              </a:solidFill>
              <a:prstDash val="solid"/>
            </a:ln>
          </c:spPr>
          <c:marker>
            <c:symbol val="none"/>
          </c:marker>
          <c:xVal>
            <c:numRef>
              <c:f>'trend 1'!$P$3:$P$252</c:f>
              <c:numCache>
                <c:formatCode>d/m/yyyy;@</c:formatCode>
                <c:ptCount val="250"/>
              </c:numCache>
            </c:numRef>
          </c:xVal>
          <c:yVal>
            <c:numRef>
              <c:f>'trend 1'!$Q$3:$Q$252</c:f>
              <c:numCache>
                <c:formatCode>0.00</c:formatCode>
                <c:ptCount val="250"/>
              </c:numCache>
            </c:numRef>
          </c:yVal>
          <c:smooth val="0"/>
          <c:extLst>
            <c:ext xmlns:c16="http://schemas.microsoft.com/office/drawing/2014/chart" uri="{C3380CC4-5D6E-409C-BE32-E72D297353CC}">
              <c16:uniqueId val="{00000000-7585-41D6-ADD2-CE7BBB5411CE}"/>
            </c:ext>
          </c:extLst>
        </c:ser>
        <c:ser>
          <c:idx val="1"/>
          <c:order val="1"/>
          <c:tx>
            <c:v>Q95</c:v>
          </c:tx>
          <c:spPr>
            <a:ln w="12700">
              <a:solidFill>
                <a:srgbClr val="0000FF"/>
              </a:solidFill>
              <a:prstDash val="sysDash"/>
            </a:ln>
          </c:spPr>
          <c:marker>
            <c:symbol val="none"/>
          </c:marker>
          <c:xVal>
            <c:numRef>
              <c:f>'trend 1'!$A$102:$A$104</c:f>
              <c:numCache>
                <c:formatCode>m/d/yyyy</c:formatCode>
                <c:ptCount val="3"/>
                <c:pt idx="0">
                  <c:v>1</c:v>
                </c:pt>
                <c:pt idx="1">
                  <c:v>0</c:v>
                </c:pt>
                <c:pt idx="2">
                  <c:v>44196</c:v>
                </c:pt>
              </c:numCache>
            </c:numRef>
          </c:xVal>
          <c:yVal>
            <c:numRef>
              <c:f>'trend 1'!$D$102:$D$104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1-7585-41D6-ADD2-CE7BBB5411CE}"/>
            </c:ext>
          </c:extLst>
        </c:ser>
        <c:ser>
          <c:idx val="2"/>
          <c:order val="2"/>
          <c:tx>
            <c:v>AS Zustrom</c:v>
          </c:tx>
          <c:spPr>
            <a:ln w="12700">
              <a:solidFill>
                <a:srgbClr val="0000FF"/>
              </a:solidFill>
              <a:prstDash val="solid"/>
            </a:ln>
          </c:spPr>
          <c:marker>
            <c:symbol val="none"/>
          </c:marker>
          <c:xVal>
            <c:numRef>
              <c:f>'trend 1'!$A$102:$A$104</c:f>
              <c:numCache>
                <c:formatCode>m/d/yyyy</c:formatCode>
                <c:ptCount val="3"/>
                <c:pt idx="0">
                  <c:v>1</c:v>
                </c:pt>
                <c:pt idx="1">
                  <c:v>0</c:v>
                </c:pt>
                <c:pt idx="2">
                  <c:v>44196</c:v>
                </c:pt>
              </c:numCache>
            </c:numRef>
          </c:xVal>
          <c:yVal>
            <c:numRef>
              <c:f>'trend 1'!$C$102:$C$104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2-7585-41D6-ADD2-CE7BBB5411CE}"/>
            </c:ext>
          </c:extLst>
        </c:ser>
        <c:ser>
          <c:idx val="7"/>
          <c:order val="3"/>
          <c:tx>
            <c:v>vager Trend</c:v>
          </c:tx>
          <c:spPr>
            <a:ln w="12700">
              <a:solidFill>
                <a:srgbClr val="808080"/>
              </a:solidFill>
              <a:prstDash val="sysDash"/>
            </a:ln>
          </c:spPr>
          <c:marker>
            <c:symbol val="none"/>
          </c:marker>
          <c:xVal>
            <c:numRef>
              <c:f>'trend 1'!$B$113:$B$114</c:f>
              <c:numCache>
                <c:formatCode>d/m/yyyy;@</c:formatCode>
                <c:ptCount val="2"/>
                <c:pt idx="0">
                  <c:v>0</c:v>
                </c:pt>
                <c:pt idx="1">
                  <c:v>0</c:v>
                </c:pt>
              </c:numCache>
            </c:numRef>
          </c:xVal>
          <c:yVal>
            <c:numRef>
              <c:f>'trend 1'!$D$113:$D$114</c:f>
              <c:numCache>
                <c:formatCode>General</c:formatCode>
                <c:ptCount val="2"/>
                <c:pt idx="0">
                  <c:v>0</c:v>
                </c:pt>
                <c:pt idx="1">
                  <c:v>0</c:v>
                </c:pt>
              </c:numCache>
            </c:numRef>
          </c:yVal>
          <c:smooth val="0"/>
          <c:extLst>
            <c:ext xmlns:c16="http://schemas.microsoft.com/office/drawing/2014/chart" uri="{C3380CC4-5D6E-409C-BE32-E72D297353CC}">
              <c16:uniqueId val="{00000003-7585-41D6-ADD2-CE7BBB5411CE}"/>
            </c:ext>
          </c:extLst>
        </c:ser>
        <c:ser>
          <c:idx val="8"/>
          <c:order val="4"/>
          <c:tx>
            <c:v>Trendlinie</c:v>
          </c:tx>
          <c:spPr>
            <a:ln w="12700">
              <a:solidFill>
                <a:srgbClr val="808080"/>
              </a:solidFill>
              <a:prstDash val="solid"/>
            </a:ln>
          </c:spPr>
          <c:marker>
            <c:symbol val="none"/>
          </c:marker>
          <c:xVal>
            <c:numRef>
              <c:f>'trend 1'!$B$113:$B$114</c:f>
              <c:numCache>
                <c:formatCode>d/m/yyyy;@</c:formatCode>
                <c:ptCount val="2"/>
                <c:pt idx="0">
                  <c:v>0</c:v>
                </c:pt>
                <c:pt idx="1">
                  <c:v>0</c:v>
                </c:pt>
              </c:numCache>
            </c:numRef>
          </c:xVal>
          <c:yVal>
            <c:numRef>
              <c:f>'trend 1'!$E$113:$E$114</c:f>
              <c:numCache>
                <c:formatCode>General</c:formatCode>
                <c:ptCount val="2"/>
                <c:pt idx="0">
                  <c:v>0</c:v>
                </c:pt>
                <c:pt idx="1">
                  <c:v>0</c:v>
                </c:pt>
              </c:numCache>
            </c:numRef>
          </c:yVal>
          <c:smooth val="0"/>
          <c:extLst>
            <c:ext xmlns:c16="http://schemas.microsoft.com/office/drawing/2014/chart" uri="{C3380CC4-5D6E-409C-BE32-E72D297353CC}">
              <c16:uniqueId val="{00000004-7585-41D6-ADD2-CE7BBB5411CE}"/>
            </c:ext>
          </c:extLst>
        </c:ser>
        <c:ser>
          <c:idx val="3"/>
          <c:order val="5"/>
          <c:tx>
            <c:v>Vorschlag AS</c:v>
          </c:tx>
          <c:spPr>
            <a:ln w="38100">
              <a:solidFill>
                <a:srgbClr val="FF0000"/>
              </a:solidFill>
              <a:prstDash val="solid"/>
            </a:ln>
          </c:spPr>
          <c:marker>
            <c:symbol val="none"/>
          </c:marker>
          <c:xVal>
            <c:numRef>
              <c:f>'trend 1'!$B$35:$C$35</c:f>
              <c:numCache>
                <c:formatCode>m/d/yyyy</c:formatCode>
                <c:ptCount val="2"/>
              </c:numCache>
            </c:numRef>
          </c:xVal>
          <c:yVal>
            <c:numRef>
              <c:f>'trend 1'!$E$106:$E$107</c:f>
              <c:numCache>
                <c:formatCode>0.0000</c:formatCode>
                <c:ptCount val="2"/>
                <c:pt idx="0">
                  <c:v>0</c:v>
                </c:pt>
                <c:pt idx="1">
                  <c:v>0</c:v>
                </c:pt>
              </c:numCache>
            </c:numRef>
          </c:yVal>
          <c:smooth val="0"/>
          <c:extLst>
            <c:ext xmlns:c16="http://schemas.microsoft.com/office/drawing/2014/chart" uri="{C3380CC4-5D6E-409C-BE32-E72D297353CC}">
              <c16:uniqueId val="{00000005-7585-41D6-ADD2-CE7BBB5411CE}"/>
            </c:ext>
          </c:extLst>
        </c:ser>
        <c:ser>
          <c:idx val="4"/>
          <c:order val="6"/>
          <c:tx>
            <c:v>Geltungsspanne</c:v>
          </c:tx>
          <c:spPr>
            <a:ln w="12700">
              <a:solidFill>
                <a:srgbClr val="808080"/>
              </a:solidFill>
              <a:prstDash val="lgDashDot"/>
            </a:ln>
          </c:spPr>
          <c:marker>
            <c:symbol val="none"/>
          </c:marker>
          <c:xVal>
            <c:numRef>
              <c:f>'trend 1'!$B$105:$B$106</c:f>
              <c:numCache>
                <c:formatCode>m/d/yyyy</c:formatCode>
                <c:ptCount val="2"/>
                <c:pt idx="0">
                  <c:v>0</c:v>
                </c:pt>
                <c:pt idx="1">
                  <c:v>0</c:v>
                </c:pt>
              </c:numCache>
            </c:numRef>
          </c:xVal>
          <c:yVal>
            <c:numRef>
              <c:f>'trend 1'!$C$105:$C$106</c:f>
              <c:numCache>
                <c:formatCode>0</c:formatCode>
                <c:ptCount val="2"/>
                <c:pt idx="0">
                  <c:v>0</c:v>
                </c:pt>
                <c:pt idx="1">
                  <c:v>100000</c:v>
                </c:pt>
              </c:numCache>
            </c:numRef>
          </c:yVal>
          <c:smooth val="0"/>
          <c:extLst>
            <c:ext xmlns:c16="http://schemas.microsoft.com/office/drawing/2014/chart" uri="{C3380CC4-5D6E-409C-BE32-E72D297353CC}">
              <c16:uniqueId val="{00000006-7585-41D6-ADD2-CE7BBB5411CE}"/>
            </c:ext>
          </c:extLst>
        </c:ser>
        <c:ser>
          <c:idx val="6"/>
          <c:order val="7"/>
          <c:tx>
            <c:v>Geltungsspanneu</c:v>
          </c:tx>
          <c:spPr>
            <a:ln w="12700">
              <a:solidFill>
                <a:srgbClr val="808080"/>
              </a:solidFill>
              <a:prstDash val="lgDashDot"/>
            </a:ln>
          </c:spPr>
          <c:marker>
            <c:symbol val="none"/>
          </c:marker>
          <c:xVal>
            <c:numRef>
              <c:f>'trend 1'!$A$105:$A$106</c:f>
              <c:numCache>
                <c:formatCode>m/d/yyyy</c:formatCode>
                <c:ptCount val="2"/>
                <c:pt idx="0">
                  <c:v>0</c:v>
                </c:pt>
                <c:pt idx="1">
                  <c:v>0</c:v>
                </c:pt>
              </c:numCache>
            </c:numRef>
          </c:xVal>
          <c:yVal>
            <c:numRef>
              <c:f>'trend 1'!$C$105:$C$106</c:f>
              <c:numCache>
                <c:formatCode>0</c:formatCode>
                <c:ptCount val="2"/>
                <c:pt idx="0">
                  <c:v>0</c:v>
                </c:pt>
                <c:pt idx="1">
                  <c:v>100000</c:v>
                </c:pt>
              </c:numCache>
            </c:numRef>
          </c:yVal>
          <c:smooth val="0"/>
          <c:extLst>
            <c:ext xmlns:c16="http://schemas.microsoft.com/office/drawing/2014/chart" uri="{C3380CC4-5D6E-409C-BE32-E72D297353CC}">
              <c16:uniqueId val="{00000007-7585-41D6-ADD2-CE7BBB5411CE}"/>
            </c:ext>
          </c:extLst>
        </c:ser>
        <c:ser>
          <c:idx val="9"/>
          <c:order val="8"/>
          <c:tx>
            <c:v>Projektionswert</c:v>
          </c:tx>
          <c:spPr>
            <a:ln w="28575">
              <a:noFill/>
            </a:ln>
          </c:spPr>
          <c:marker>
            <c:symbol val="circle"/>
            <c:size val="7"/>
            <c:spPr>
              <a:noFill/>
              <a:ln>
                <a:solidFill>
                  <a:srgbClr val="0000FF"/>
                </a:solidFill>
                <a:prstDash val="solid"/>
              </a:ln>
            </c:spPr>
          </c:marker>
          <c:xVal>
            <c:numRef>
              <c:f>'trend 1'!$B$35:$C$35</c:f>
              <c:numCache>
                <c:formatCode>m/d/yyyy</c:formatCode>
                <c:ptCount val="2"/>
              </c:numCache>
            </c:numRef>
          </c:xVal>
          <c:yVal>
            <c:numRef>
              <c:f>'trend 1'!$E$102:$E$103</c:f>
              <c:numCache>
                <c:formatCode>0.000</c:formatCode>
                <c:ptCount val="2"/>
                <c:pt idx="0">
                  <c:v>0</c:v>
                </c:pt>
                <c:pt idx="1">
                  <c:v>0</c:v>
                </c:pt>
              </c:numCache>
            </c:numRef>
          </c:yVal>
          <c:smooth val="0"/>
          <c:extLst>
            <c:ext xmlns:c16="http://schemas.microsoft.com/office/drawing/2014/chart" uri="{C3380CC4-5D6E-409C-BE32-E72D297353CC}">
              <c16:uniqueId val="{00000008-7585-41D6-ADD2-CE7BBB5411CE}"/>
            </c:ext>
          </c:extLst>
        </c:ser>
        <c:ser>
          <c:idx val="10"/>
          <c:order val="9"/>
          <c:tx>
            <c:v>AS abgesichert</c:v>
          </c:tx>
          <c:spPr>
            <a:ln w="3175">
              <a:solidFill>
                <a:srgbClr val="3366FF"/>
              </a:solidFill>
              <a:prstDash val="lgDashDot"/>
            </a:ln>
          </c:spPr>
          <c:marker>
            <c:symbol val="square"/>
            <c:size val="8"/>
            <c:spPr>
              <a:noFill/>
              <a:ln>
                <a:solidFill>
                  <a:srgbClr val="3366FF"/>
                </a:solidFill>
                <a:prstDash val="solid"/>
              </a:ln>
            </c:spPr>
          </c:marker>
          <c:xVal>
            <c:numRef>
              <c:f>'trend 1'!$F$102:$F$103</c:f>
              <c:numCache>
                <c:formatCode>m/d/yyyy</c:formatCode>
                <c:ptCount val="2"/>
                <c:pt idx="0">
                  <c:v>0</c:v>
                </c:pt>
                <c:pt idx="1">
                  <c:v>44196</c:v>
                </c:pt>
              </c:numCache>
            </c:numRef>
          </c:xVal>
          <c:yVal>
            <c:numRef>
              <c:f>'trend 1'!$G$102:$G$103</c:f>
              <c:numCache>
                <c:formatCode>0.0000</c:formatCode>
                <c:ptCount val="2"/>
                <c:pt idx="0">
                  <c:v>0</c:v>
                </c:pt>
                <c:pt idx="1">
                  <c:v>0</c:v>
                </c:pt>
              </c:numCache>
            </c:numRef>
          </c:yVal>
          <c:smooth val="0"/>
          <c:extLst>
            <c:ext xmlns:c16="http://schemas.microsoft.com/office/drawing/2014/chart" uri="{C3380CC4-5D6E-409C-BE32-E72D297353CC}">
              <c16:uniqueId val="{00000009-7585-41D6-ADD2-CE7BBB5411CE}"/>
            </c:ext>
          </c:extLst>
        </c:ser>
        <c:ser>
          <c:idx val="5"/>
          <c:order val="10"/>
          <c:tx>
            <c:v>AS Abstrom</c:v>
          </c:tx>
          <c:spPr>
            <a:ln w="25400">
              <a:solidFill>
                <a:srgbClr val="0000FF"/>
              </a:solidFill>
              <a:prstDash val="solid"/>
            </a:ln>
          </c:spPr>
          <c:marker>
            <c:symbol val="none"/>
          </c:marker>
          <c:xVal>
            <c:numRef>
              <c:f>'trend 1'!$B$102:$B$104</c:f>
              <c:numCache>
                <c:formatCode>m/d/yyyy</c:formatCode>
                <c:ptCount val="3"/>
                <c:pt idx="0">
                  <c:v>1</c:v>
                </c:pt>
                <c:pt idx="1">
                  <c:v>0</c:v>
                </c:pt>
                <c:pt idx="2">
                  <c:v>44196</c:v>
                </c:pt>
              </c:numCache>
            </c:numRef>
          </c:xVal>
          <c:yVal>
            <c:numRef>
              <c:f>'trend 1'!$C$102:$C$104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A-7585-41D6-ADD2-CE7BBB5411CE}"/>
            </c:ext>
          </c:extLst>
        </c:ser>
        <c:dLbls>
          <c:showLegendKey val="0"/>
          <c:showVal val="0"/>
          <c:showCatName val="0"/>
          <c:showSerName val="0"/>
          <c:showPercent val="0"/>
          <c:showBubbleSize val="0"/>
        </c:dLbls>
        <c:axId val="160404992"/>
        <c:axId val="160406528"/>
      </c:scatterChart>
      <c:valAx>
        <c:axId val="160404992"/>
        <c:scaling>
          <c:orientation val="minMax"/>
          <c:max val="42369"/>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75" b="0" i="0" u="none" strike="noStrike" baseline="0">
                <a:solidFill>
                  <a:schemeClr val="tx1"/>
                </a:solidFill>
                <a:latin typeface="Arial"/>
                <a:ea typeface="Arial"/>
                <a:cs typeface="Arial"/>
              </a:defRPr>
            </a:pPr>
            <a:endParaRPr lang="de-DE"/>
          </a:p>
        </c:txPr>
        <c:crossAx val="160406528"/>
        <c:crossesAt val="0"/>
        <c:crossBetween val="midCat"/>
        <c:majorUnit val="1461"/>
        <c:minorUnit val="365.25"/>
      </c:valAx>
      <c:valAx>
        <c:axId val="160406528"/>
        <c:scaling>
          <c:orientation val="minMax"/>
          <c:max val="1.5"/>
          <c:min val="0"/>
        </c:scaling>
        <c:delete val="0"/>
        <c:axPos val="l"/>
        <c:numFmt formatCode="0.0" sourceLinked="0"/>
        <c:majorTickMark val="out"/>
        <c:minorTickMark val="in"/>
        <c:tickLblPos val="nextTo"/>
        <c:spPr>
          <a:ln w="3175">
            <a:solidFill>
              <a:srgbClr val="000000"/>
            </a:solidFill>
            <a:prstDash val="solid"/>
          </a:ln>
        </c:spPr>
        <c:txPr>
          <a:bodyPr rot="0" vert="horz"/>
          <a:lstStyle/>
          <a:p>
            <a:pPr>
              <a:defRPr sz="1175" b="0" i="0" u="none" strike="noStrike" baseline="0">
                <a:solidFill>
                  <a:schemeClr val="tx1"/>
                </a:solidFill>
                <a:latin typeface="Arial"/>
                <a:ea typeface="Arial"/>
                <a:cs typeface="Arial"/>
              </a:defRPr>
            </a:pPr>
            <a:endParaRPr lang="de-DE"/>
          </a:p>
        </c:txPr>
        <c:crossAx val="160404992"/>
        <c:crosses val="autoZero"/>
        <c:crossBetween val="midCat"/>
        <c:majorUnit val="0.5"/>
      </c:valAx>
    </c:plotArea>
    <c:legend>
      <c:legendPos val="r"/>
      <c:legendEntry>
        <c:idx val="3"/>
        <c:delete val="1"/>
      </c:legendEntry>
      <c:legendEntry>
        <c:idx val="7"/>
        <c:delete val="1"/>
      </c:legendEntry>
      <c:layout>
        <c:manualLayout>
          <c:xMode val="edge"/>
          <c:yMode val="edge"/>
          <c:x val="0.60412721014663584"/>
          <c:y val="3.7045385421242943E-2"/>
          <c:w val="0.37314847470413504"/>
          <c:h val="0.1759095670981041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chemeClr val="bg2">
        <a:lumMod val="90000"/>
      </a:schemeClr>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verticalDpi="1200"/>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1923076923077"/>
          <c:y val="9.2198900843932993E-2"/>
          <c:w val="0.80769230769230771"/>
          <c:h val="0.85106677702091993"/>
        </c:manualLayout>
      </c:layout>
      <c:scatterChart>
        <c:scatterStyle val="lineMarker"/>
        <c:varyColors val="0"/>
        <c:ser>
          <c:idx val="0"/>
          <c:order val="0"/>
          <c:tx>
            <c:v>Residuen</c:v>
          </c:tx>
          <c:spPr>
            <a:ln w="12700">
              <a:solidFill>
                <a:srgbClr val="808080"/>
              </a:solidFill>
              <a:prstDash val="solid"/>
            </a:ln>
          </c:spPr>
          <c:marker>
            <c:symbol val="diamond"/>
            <c:size val="3"/>
            <c:spPr>
              <a:solidFill>
                <a:srgbClr val="808080"/>
              </a:solidFill>
              <a:ln>
                <a:solidFill>
                  <a:srgbClr val="808080"/>
                </a:solidFill>
                <a:prstDash val="solid"/>
              </a:ln>
            </c:spPr>
          </c:marker>
          <c:xVal>
            <c:numRef>
              <c:f>'trend 2'!$P$3:$P$252</c:f>
              <c:numCache>
                <c:formatCode>d/m/yyyy;@</c:formatCode>
                <c:ptCount val="250"/>
              </c:numCache>
            </c:numRef>
          </c:xVal>
          <c:yVal>
            <c:numRef>
              <c:f>'trend 2'!$S$3:$S$252</c:f>
              <c:numCache>
                <c:formatCode>0.0000</c:formatCode>
                <c:ptCount val="2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numCache>
            </c:numRef>
          </c:yVal>
          <c:smooth val="0"/>
          <c:extLst>
            <c:ext xmlns:c16="http://schemas.microsoft.com/office/drawing/2014/chart" uri="{C3380CC4-5D6E-409C-BE32-E72D297353CC}">
              <c16:uniqueId val="{00000000-04DA-4EBE-B01D-79913BB22D0C}"/>
            </c:ext>
          </c:extLst>
        </c:ser>
        <c:dLbls>
          <c:showLegendKey val="0"/>
          <c:showVal val="0"/>
          <c:showCatName val="0"/>
          <c:showSerName val="0"/>
          <c:showPercent val="0"/>
          <c:showBubbleSize val="0"/>
        </c:dLbls>
        <c:axId val="157745152"/>
        <c:axId val="157747072"/>
      </c:scatterChart>
      <c:valAx>
        <c:axId val="157745152"/>
        <c:scaling>
          <c:orientation val="minMax"/>
          <c:max val="39447"/>
          <c:min val="32874"/>
        </c:scaling>
        <c:delete val="0"/>
        <c:axPos val="b"/>
        <c:numFmt formatCode="[$-407]mmmmm\ yy;@" sourceLinked="0"/>
        <c:majorTickMark val="out"/>
        <c:minorTickMark val="in"/>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57747072"/>
        <c:crosses val="autoZero"/>
        <c:crossBetween val="midCat"/>
        <c:majorUnit val="1461"/>
        <c:minorUnit val="365.25"/>
      </c:valAx>
      <c:valAx>
        <c:axId val="157747072"/>
        <c:scaling>
          <c:orientation val="minMax"/>
          <c:max val="10"/>
          <c:min val="-10"/>
        </c:scaling>
        <c:delete val="0"/>
        <c:axPos val="l"/>
        <c:numFmt formatCode="0.0" sourceLinked="0"/>
        <c:majorTickMark val="in"/>
        <c:minorTickMark val="none"/>
        <c:tickLblPos val="nextTo"/>
        <c:spPr>
          <a:ln w="3175">
            <a:solidFill>
              <a:srgbClr val="000000"/>
            </a:solidFill>
            <a:prstDash val="solid"/>
          </a:ln>
        </c:spPr>
        <c:txPr>
          <a:bodyPr rot="0" vert="horz"/>
          <a:lstStyle/>
          <a:p>
            <a:pPr>
              <a:defRPr sz="1075" b="0" i="0" u="none" strike="noStrike" baseline="0">
                <a:solidFill>
                  <a:schemeClr val="tx1"/>
                </a:solidFill>
                <a:latin typeface="Arial"/>
                <a:ea typeface="Arial"/>
                <a:cs typeface="Arial"/>
              </a:defRPr>
            </a:pPr>
            <a:endParaRPr lang="de-DE"/>
          </a:p>
        </c:txPr>
        <c:crossAx val="157745152"/>
        <c:crosses val="autoZero"/>
        <c:crossBetween val="midCat"/>
        <c:majorUnit val="5"/>
        <c:minorUnit val="1"/>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98973042362001E-2"/>
          <c:y val="5.8787131222331111E-2"/>
          <c:w val="0.90115532734274706"/>
          <c:h val="0.85349565746341793"/>
        </c:manualLayout>
      </c:layout>
      <c:scatterChart>
        <c:scatterStyle val="lineMarker"/>
        <c:varyColors val="0"/>
        <c:ser>
          <c:idx val="0"/>
          <c:order val="0"/>
          <c:tx>
            <c:v>Zeitreihe</c:v>
          </c:tx>
          <c:spPr>
            <a:ln w="25400">
              <a:solidFill>
                <a:srgbClr val="000000"/>
              </a:solidFill>
              <a:prstDash val="solid"/>
            </a:ln>
          </c:spPr>
          <c:marker>
            <c:symbol val="none"/>
          </c:marker>
          <c:xVal>
            <c:numRef>
              <c:f>'trend 2'!$P$3:$P$252</c:f>
              <c:numCache>
                <c:formatCode>d/m/yyyy;@</c:formatCode>
                <c:ptCount val="250"/>
              </c:numCache>
            </c:numRef>
          </c:xVal>
          <c:yVal>
            <c:numRef>
              <c:f>'trend 2'!$Q$3:$Q$252</c:f>
              <c:numCache>
                <c:formatCode>0.00</c:formatCode>
                <c:ptCount val="250"/>
              </c:numCache>
            </c:numRef>
          </c:yVal>
          <c:smooth val="0"/>
          <c:extLst>
            <c:ext xmlns:c16="http://schemas.microsoft.com/office/drawing/2014/chart" uri="{C3380CC4-5D6E-409C-BE32-E72D297353CC}">
              <c16:uniqueId val="{00000000-035B-4BC7-985D-CB6C5FA96315}"/>
            </c:ext>
          </c:extLst>
        </c:ser>
        <c:ser>
          <c:idx val="1"/>
          <c:order val="1"/>
          <c:tx>
            <c:v>Q95</c:v>
          </c:tx>
          <c:spPr>
            <a:ln w="12700">
              <a:solidFill>
                <a:srgbClr val="0000FF"/>
              </a:solidFill>
              <a:prstDash val="sysDash"/>
            </a:ln>
          </c:spPr>
          <c:marker>
            <c:symbol val="none"/>
          </c:marker>
          <c:xVal>
            <c:numRef>
              <c:f>'trend 2'!$A$102:$A$104</c:f>
              <c:numCache>
                <c:formatCode>m/d/yyyy</c:formatCode>
                <c:ptCount val="3"/>
                <c:pt idx="0">
                  <c:v>1</c:v>
                </c:pt>
                <c:pt idx="1">
                  <c:v>0</c:v>
                </c:pt>
                <c:pt idx="2">
                  <c:v>44196</c:v>
                </c:pt>
              </c:numCache>
            </c:numRef>
          </c:xVal>
          <c:yVal>
            <c:numRef>
              <c:f>'trend 2'!$D$102:$D$104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1-035B-4BC7-985D-CB6C5FA96315}"/>
            </c:ext>
          </c:extLst>
        </c:ser>
        <c:ser>
          <c:idx val="2"/>
          <c:order val="2"/>
          <c:tx>
            <c:v>AS Zustrom</c:v>
          </c:tx>
          <c:spPr>
            <a:ln w="12700">
              <a:solidFill>
                <a:srgbClr val="0000FF"/>
              </a:solidFill>
              <a:prstDash val="solid"/>
            </a:ln>
          </c:spPr>
          <c:marker>
            <c:symbol val="none"/>
          </c:marker>
          <c:xVal>
            <c:numRef>
              <c:f>'trend 2'!$A$102:$A$104</c:f>
              <c:numCache>
                <c:formatCode>m/d/yyyy</c:formatCode>
                <c:ptCount val="3"/>
                <c:pt idx="0">
                  <c:v>1</c:v>
                </c:pt>
                <c:pt idx="1">
                  <c:v>0</c:v>
                </c:pt>
                <c:pt idx="2">
                  <c:v>44196</c:v>
                </c:pt>
              </c:numCache>
            </c:numRef>
          </c:xVal>
          <c:yVal>
            <c:numRef>
              <c:f>'trend 2'!$C$102:$C$104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2-035B-4BC7-985D-CB6C5FA96315}"/>
            </c:ext>
          </c:extLst>
        </c:ser>
        <c:ser>
          <c:idx val="7"/>
          <c:order val="3"/>
          <c:tx>
            <c:v>vager Trend</c:v>
          </c:tx>
          <c:spPr>
            <a:ln w="12700">
              <a:solidFill>
                <a:srgbClr val="808080"/>
              </a:solidFill>
              <a:prstDash val="sysDash"/>
            </a:ln>
          </c:spPr>
          <c:marker>
            <c:symbol val="none"/>
          </c:marker>
          <c:xVal>
            <c:numRef>
              <c:f>'trend 2'!$B$113:$B$114</c:f>
              <c:numCache>
                <c:formatCode>d/m/yyyy;@</c:formatCode>
                <c:ptCount val="2"/>
                <c:pt idx="0">
                  <c:v>0</c:v>
                </c:pt>
                <c:pt idx="1">
                  <c:v>0</c:v>
                </c:pt>
              </c:numCache>
            </c:numRef>
          </c:xVal>
          <c:yVal>
            <c:numRef>
              <c:f>'trend 2'!$D$113:$D$114</c:f>
              <c:numCache>
                <c:formatCode>General</c:formatCode>
                <c:ptCount val="2"/>
                <c:pt idx="0">
                  <c:v>0</c:v>
                </c:pt>
                <c:pt idx="1">
                  <c:v>0</c:v>
                </c:pt>
              </c:numCache>
            </c:numRef>
          </c:yVal>
          <c:smooth val="0"/>
          <c:extLst>
            <c:ext xmlns:c16="http://schemas.microsoft.com/office/drawing/2014/chart" uri="{C3380CC4-5D6E-409C-BE32-E72D297353CC}">
              <c16:uniqueId val="{00000003-035B-4BC7-985D-CB6C5FA96315}"/>
            </c:ext>
          </c:extLst>
        </c:ser>
        <c:ser>
          <c:idx val="8"/>
          <c:order val="4"/>
          <c:tx>
            <c:v>Trendlinie</c:v>
          </c:tx>
          <c:spPr>
            <a:ln w="12700">
              <a:solidFill>
                <a:srgbClr val="808080"/>
              </a:solidFill>
              <a:prstDash val="solid"/>
            </a:ln>
          </c:spPr>
          <c:marker>
            <c:symbol val="none"/>
          </c:marker>
          <c:xVal>
            <c:numRef>
              <c:f>'trend 2'!$B$113:$B$114</c:f>
              <c:numCache>
                <c:formatCode>d/m/yyyy;@</c:formatCode>
                <c:ptCount val="2"/>
                <c:pt idx="0">
                  <c:v>0</c:v>
                </c:pt>
                <c:pt idx="1">
                  <c:v>0</c:v>
                </c:pt>
              </c:numCache>
            </c:numRef>
          </c:xVal>
          <c:yVal>
            <c:numRef>
              <c:f>'trend 2'!$E$113:$E$114</c:f>
              <c:numCache>
                <c:formatCode>General</c:formatCode>
                <c:ptCount val="2"/>
                <c:pt idx="0">
                  <c:v>0</c:v>
                </c:pt>
                <c:pt idx="1">
                  <c:v>0</c:v>
                </c:pt>
              </c:numCache>
            </c:numRef>
          </c:yVal>
          <c:smooth val="0"/>
          <c:extLst>
            <c:ext xmlns:c16="http://schemas.microsoft.com/office/drawing/2014/chart" uri="{C3380CC4-5D6E-409C-BE32-E72D297353CC}">
              <c16:uniqueId val="{00000004-035B-4BC7-985D-CB6C5FA96315}"/>
            </c:ext>
          </c:extLst>
        </c:ser>
        <c:ser>
          <c:idx val="3"/>
          <c:order val="5"/>
          <c:tx>
            <c:v>Vorschlag AS</c:v>
          </c:tx>
          <c:spPr>
            <a:ln w="38100">
              <a:solidFill>
                <a:srgbClr val="FF0000"/>
              </a:solidFill>
              <a:prstDash val="solid"/>
            </a:ln>
          </c:spPr>
          <c:marker>
            <c:symbol val="none"/>
          </c:marker>
          <c:xVal>
            <c:numRef>
              <c:f>'trend 2'!$B$35:$C$35</c:f>
              <c:numCache>
                <c:formatCode>m/d/yyyy</c:formatCode>
                <c:ptCount val="2"/>
              </c:numCache>
            </c:numRef>
          </c:xVal>
          <c:yVal>
            <c:numRef>
              <c:f>'trend 2'!$E$106:$E$107</c:f>
              <c:numCache>
                <c:formatCode>0.0000</c:formatCode>
                <c:ptCount val="2"/>
                <c:pt idx="0">
                  <c:v>0</c:v>
                </c:pt>
                <c:pt idx="1">
                  <c:v>0</c:v>
                </c:pt>
              </c:numCache>
            </c:numRef>
          </c:yVal>
          <c:smooth val="0"/>
          <c:extLst>
            <c:ext xmlns:c16="http://schemas.microsoft.com/office/drawing/2014/chart" uri="{C3380CC4-5D6E-409C-BE32-E72D297353CC}">
              <c16:uniqueId val="{00000005-035B-4BC7-985D-CB6C5FA96315}"/>
            </c:ext>
          </c:extLst>
        </c:ser>
        <c:ser>
          <c:idx val="4"/>
          <c:order val="6"/>
          <c:tx>
            <c:v>Geltungsspanne</c:v>
          </c:tx>
          <c:spPr>
            <a:ln w="12700">
              <a:solidFill>
                <a:srgbClr val="808080"/>
              </a:solidFill>
              <a:prstDash val="lgDashDot"/>
            </a:ln>
          </c:spPr>
          <c:marker>
            <c:symbol val="none"/>
          </c:marker>
          <c:xVal>
            <c:numRef>
              <c:f>'trend 2'!$B$105:$B$106</c:f>
              <c:numCache>
                <c:formatCode>m/d/yyyy</c:formatCode>
                <c:ptCount val="2"/>
                <c:pt idx="0">
                  <c:v>0</c:v>
                </c:pt>
                <c:pt idx="1">
                  <c:v>0</c:v>
                </c:pt>
              </c:numCache>
            </c:numRef>
          </c:xVal>
          <c:yVal>
            <c:numRef>
              <c:f>'trend 2'!$C$105:$C$106</c:f>
              <c:numCache>
                <c:formatCode>0</c:formatCode>
                <c:ptCount val="2"/>
                <c:pt idx="0">
                  <c:v>0</c:v>
                </c:pt>
                <c:pt idx="1">
                  <c:v>100000</c:v>
                </c:pt>
              </c:numCache>
            </c:numRef>
          </c:yVal>
          <c:smooth val="0"/>
          <c:extLst>
            <c:ext xmlns:c16="http://schemas.microsoft.com/office/drawing/2014/chart" uri="{C3380CC4-5D6E-409C-BE32-E72D297353CC}">
              <c16:uniqueId val="{00000006-035B-4BC7-985D-CB6C5FA96315}"/>
            </c:ext>
          </c:extLst>
        </c:ser>
        <c:ser>
          <c:idx val="6"/>
          <c:order val="7"/>
          <c:tx>
            <c:v>Geltungsspanneu</c:v>
          </c:tx>
          <c:spPr>
            <a:ln w="12700">
              <a:solidFill>
                <a:srgbClr val="808080"/>
              </a:solidFill>
              <a:prstDash val="lgDashDot"/>
            </a:ln>
          </c:spPr>
          <c:marker>
            <c:symbol val="none"/>
          </c:marker>
          <c:xVal>
            <c:numRef>
              <c:f>'trend 2'!$A$105:$A$106</c:f>
              <c:numCache>
                <c:formatCode>m/d/yyyy</c:formatCode>
                <c:ptCount val="2"/>
                <c:pt idx="0">
                  <c:v>0</c:v>
                </c:pt>
                <c:pt idx="1">
                  <c:v>0</c:v>
                </c:pt>
              </c:numCache>
            </c:numRef>
          </c:xVal>
          <c:yVal>
            <c:numRef>
              <c:f>'trend 2'!$C$105:$C$106</c:f>
              <c:numCache>
                <c:formatCode>0</c:formatCode>
                <c:ptCount val="2"/>
                <c:pt idx="0">
                  <c:v>0</c:v>
                </c:pt>
                <c:pt idx="1">
                  <c:v>100000</c:v>
                </c:pt>
              </c:numCache>
            </c:numRef>
          </c:yVal>
          <c:smooth val="0"/>
          <c:extLst>
            <c:ext xmlns:c16="http://schemas.microsoft.com/office/drawing/2014/chart" uri="{C3380CC4-5D6E-409C-BE32-E72D297353CC}">
              <c16:uniqueId val="{00000007-035B-4BC7-985D-CB6C5FA96315}"/>
            </c:ext>
          </c:extLst>
        </c:ser>
        <c:ser>
          <c:idx val="9"/>
          <c:order val="8"/>
          <c:tx>
            <c:v>Projektionswert</c:v>
          </c:tx>
          <c:spPr>
            <a:ln w="28575">
              <a:noFill/>
            </a:ln>
          </c:spPr>
          <c:marker>
            <c:symbol val="circle"/>
            <c:size val="7"/>
            <c:spPr>
              <a:noFill/>
              <a:ln>
                <a:solidFill>
                  <a:srgbClr val="0000FF"/>
                </a:solidFill>
                <a:prstDash val="solid"/>
              </a:ln>
            </c:spPr>
          </c:marker>
          <c:xVal>
            <c:numRef>
              <c:f>'trend 2'!$B$35:$C$35</c:f>
              <c:numCache>
                <c:formatCode>m/d/yyyy</c:formatCode>
                <c:ptCount val="2"/>
              </c:numCache>
            </c:numRef>
          </c:xVal>
          <c:yVal>
            <c:numRef>
              <c:f>'trend 2'!$E$102:$E$103</c:f>
              <c:numCache>
                <c:formatCode>0.000</c:formatCode>
                <c:ptCount val="2"/>
                <c:pt idx="0">
                  <c:v>0</c:v>
                </c:pt>
                <c:pt idx="1">
                  <c:v>0</c:v>
                </c:pt>
              </c:numCache>
            </c:numRef>
          </c:yVal>
          <c:smooth val="0"/>
          <c:extLst>
            <c:ext xmlns:c16="http://schemas.microsoft.com/office/drawing/2014/chart" uri="{C3380CC4-5D6E-409C-BE32-E72D297353CC}">
              <c16:uniqueId val="{00000008-035B-4BC7-985D-CB6C5FA96315}"/>
            </c:ext>
          </c:extLst>
        </c:ser>
        <c:ser>
          <c:idx val="10"/>
          <c:order val="9"/>
          <c:tx>
            <c:v>AS abgesichert</c:v>
          </c:tx>
          <c:spPr>
            <a:ln w="3175">
              <a:solidFill>
                <a:srgbClr val="3366FF"/>
              </a:solidFill>
              <a:prstDash val="lgDashDot"/>
            </a:ln>
          </c:spPr>
          <c:marker>
            <c:symbol val="square"/>
            <c:size val="8"/>
            <c:spPr>
              <a:noFill/>
              <a:ln>
                <a:solidFill>
                  <a:srgbClr val="3366FF"/>
                </a:solidFill>
                <a:prstDash val="solid"/>
              </a:ln>
            </c:spPr>
          </c:marker>
          <c:xVal>
            <c:numRef>
              <c:f>'trend 2'!$F$102:$F$103</c:f>
              <c:numCache>
                <c:formatCode>m/d/yyyy</c:formatCode>
                <c:ptCount val="2"/>
                <c:pt idx="0">
                  <c:v>0</c:v>
                </c:pt>
                <c:pt idx="1">
                  <c:v>44196</c:v>
                </c:pt>
              </c:numCache>
            </c:numRef>
          </c:xVal>
          <c:yVal>
            <c:numRef>
              <c:f>'trend 2'!$G$102:$G$103</c:f>
              <c:numCache>
                <c:formatCode>0.0000</c:formatCode>
                <c:ptCount val="2"/>
                <c:pt idx="0">
                  <c:v>0</c:v>
                </c:pt>
                <c:pt idx="1">
                  <c:v>0</c:v>
                </c:pt>
              </c:numCache>
            </c:numRef>
          </c:yVal>
          <c:smooth val="0"/>
          <c:extLst>
            <c:ext xmlns:c16="http://schemas.microsoft.com/office/drawing/2014/chart" uri="{C3380CC4-5D6E-409C-BE32-E72D297353CC}">
              <c16:uniqueId val="{00000009-035B-4BC7-985D-CB6C5FA96315}"/>
            </c:ext>
          </c:extLst>
        </c:ser>
        <c:ser>
          <c:idx val="5"/>
          <c:order val="10"/>
          <c:tx>
            <c:v>AS Abstrom</c:v>
          </c:tx>
          <c:spPr>
            <a:ln w="25400">
              <a:solidFill>
                <a:srgbClr val="0000FF"/>
              </a:solidFill>
              <a:prstDash val="solid"/>
            </a:ln>
          </c:spPr>
          <c:marker>
            <c:symbol val="none"/>
          </c:marker>
          <c:xVal>
            <c:numRef>
              <c:f>'trend 2'!$B$102:$B$104</c:f>
              <c:numCache>
                <c:formatCode>m/d/yyyy</c:formatCode>
                <c:ptCount val="3"/>
                <c:pt idx="0">
                  <c:v>1</c:v>
                </c:pt>
                <c:pt idx="1">
                  <c:v>0</c:v>
                </c:pt>
                <c:pt idx="2">
                  <c:v>44196</c:v>
                </c:pt>
              </c:numCache>
            </c:numRef>
          </c:xVal>
          <c:yVal>
            <c:numRef>
              <c:f>'trend 2'!$C$102:$C$104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A-035B-4BC7-985D-CB6C5FA96315}"/>
            </c:ext>
          </c:extLst>
        </c:ser>
        <c:dLbls>
          <c:showLegendKey val="0"/>
          <c:showVal val="0"/>
          <c:showCatName val="0"/>
          <c:showSerName val="0"/>
          <c:showPercent val="0"/>
          <c:showBubbleSize val="0"/>
        </c:dLbls>
        <c:axId val="157815936"/>
        <c:axId val="157817472"/>
      </c:scatterChart>
      <c:valAx>
        <c:axId val="157815936"/>
        <c:scaling>
          <c:orientation val="minMax"/>
          <c:max val="39447"/>
          <c:min val="33239"/>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75" b="0" i="0" u="none" strike="noStrike" baseline="0">
                <a:solidFill>
                  <a:schemeClr val="tx1"/>
                </a:solidFill>
                <a:latin typeface="Arial"/>
                <a:ea typeface="Arial"/>
                <a:cs typeface="Arial"/>
              </a:defRPr>
            </a:pPr>
            <a:endParaRPr lang="de-DE"/>
          </a:p>
        </c:txPr>
        <c:crossAx val="157817472"/>
        <c:crossesAt val="0"/>
        <c:crossBetween val="midCat"/>
        <c:majorUnit val="1461"/>
        <c:minorUnit val="365.25"/>
      </c:valAx>
      <c:valAx>
        <c:axId val="157817472"/>
        <c:scaling>
          <c:orientation val="minMax"/>
          <c:max val="30"/>
          <c:min val="0"/>
        </c:scaling>
        <c:delete val="0"/>
        <c:axPos val="l"/>
        <c:numFmt formatCode="0.0" sourceLinked="0"/>
        <c:majorTickMark val="out"/>
        <c:minorTickMark val="in"/>
        <c:tickLblPos val="nextTo"/>
        <c:spPr>
          <a:ln w="3175">
            <a:solidFill>
              <a:srgbClr val="000000"/>
            </a:solidFill>
            <a:prstDash val="solid"/>
          </a:ln>
        </c:spPr>
        <c:txPr>
          <a:bodyPr rot="0" vert="horz"/>
          <a:lstStyle/>
          <a:p>
            <a:pPr>
              <a:defRPr sz="1175" b="0" i="0" u="none" strike="noStrike" baseline="0">
                <a:solidFill>
                  <a:schemeClr val="tx1"/>
                </a:solidFill>
                <a:latin typeface="Arial"/>
                <a:ea typeface="Arial"/>
                <a:cs typeface="Arial"/>
              </a:defRPr>
            </a:pPr>
            <a:endParaRPr lang="de-DE"/>
          </a:p>
        </c:txPr>
        <c:crossAx val="157815936"/>
        <c:crosses val="autoZero"/>
        <c:crossBetween val="midCat"/>
        <c:majorUnit val="10"/>
        <c:minorUnit val="2"/>
      </c:valAx>
    </c:plotArea>
    <c:legend>
      <c:legendPos val="r"/>
      <c:legendEntry>
        <c:idx val="3"/>
        <c:delete val="1"/>
      </c:legendEntry>
      <c:legendEntry>
        <c:idx val="7"/>
        <c:delete val="1"/>
      </c:legendEntry>
      <c:layout>
        <c:manualLayout>
          <c:xMode val="edge"/>
          <c:yMode val="edge"/>
          <c:x val="0.60412721014663584"/>
          <c:y val="3.7045385421242943E-2"/>
          <c:w val="0.37314847470413504"/>
          <c:h val="0.1759095670981041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chemeClr val="bg2">
        <a:lumMod val="90000"/>
      </a:schemeClr>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verticalDpi="120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1923076923077"/>
          <c:y val="9.2198900843932993E-2"/>
          <c:w val="0.80769230769230771"/>
          <c:h val="0.85106677702091993"/>
        </c:manualLayout>
      </c:layout>
      <c:scatterChart>
        <c:scatterStyle val="lineMarker"/>
        <c:varyColors val="0"/>
        <c:ser>
          <c:idx val="0"/>
          <c:order val="0"/>
          <c:tx>
            <c:v>Residuen</c:v>
          </c:tx>
          <c:spPr>
            <a:ln w="12700">
              <a:solidFill>
                <a:srgbClr val="808080"/>
              </a:solidFill>
              <a:prstDash val="solid"/>
            </a:ln>
          </c:spPr>
          <c:marker>
            <c:symbol val="diamond"/>
            <c:size val="3"/>
            <c:spPr>
              <a:solidFill>
                <a:srgbClr val="808080"/>
              </a:solidFill>
              <a:ln>
                <a:solidFill>
                  <a:srgbClr val="808080"/>
                </a:solidFill>
                <a:prstDash val="solid"/>
              </a:ln>
            </c:spPr>
          </c:marker>
          <c:xVal>
            <c:numRef>
              <c:f>'trend 3'!$P$3:$P$252</c:f>
              <c:numCache>
                <c:formatCode>d/m/yyyy;@</c:formatCode>
                <c:ptCount val="250"/>
              </c:numCache>
            </c:numRef>
          </c:xVal>
          <c:yVal>
            <c:numRef>
              <c:f>'trend 3'!$S$3:$S$252</c:f>
              <c:numCache>
                <c:formatCode>0.0000</c:formatCode>
                <c:ptCount val="2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numCache>
            </c:numRef>
          </c:yVal>
          <c:smooth val="0"/>
          <c:extLst>
            <c:ext xmlns:c16="http://schemas.microsoft.com/office/drawing/2014/chart" uri="{C3380CC4-5D6E-409C-BE32-E72D297353CC}">
              <c16:uniqueId val="{00000000-8DA1-439F-8767-F6CAA144D725}"/>
            </c:ext>
          </c:extLst>
        </c:ser>
        <c:dLbls>
          <c:showLegendKey val="0"/>
          <c:showVal val="0"/>
          <c:showCatName val="0"/>
          <c:showSerName val="0"/>
          <c:showPercent val="0"/>
          <c:showBubbleSize val="0"/>
        </c:dLbls>
        <c:axId val="157855104"/>
        <c:axId val="157869568"/>
      </c:scatterChart>
      <c:valAx>
        <c:axId val="157855104"/>
        <c:scaling>
          <c:orientation val="minMax"/>
          <c:max val="39447"/>
          <c:min val="32874"/>
        </c:scaling>
        <c:delete val="0"/>
        <c:axPos val="b"/>
        <c:numFmt formatCode="[$-407]mmmmm\ yy;@" sourceLinked="0"/>
        <c:majorTickMark val="out"/>
        <c:minorTickMark val="in"/>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57869568"/>
        <c:crosses val="autoZero"/>
        <c:crossBetween val="midCat"/>
        <c:majorUnit val="1461"/>
        <c:minorUnit val="365.25"/>
      </c:valAx>
      <c:valAx>
        <c:axId val="157869568"/>
        <c:scaling>
          <c:orientation val="minMax"/>
          <c:max val="1"/>
          <c:min val="-1"/>
        </c:scaling>
        <c:delete val="0"/>
        <c:axPos val="l"/>
        <c:numFmt formatCode="0.0" sourceLinked="0"/>
        <c:majorTickMark val="in"/>
        <c:minorTickMark val="none"/>
        <c:tickLblPos val="nextTo"/>
        <c:spPr>
          <a:ln w="3175">
            <a:solidFill>
              <a:srgbClr val="000000"/>
            </a:solidFill>
            <a:prstDash val="solid"/>
          </a:ln>
        </c:spPr>
        <c:txPr>
          <a:bodyPr rot="0" vert="horz"/>
          <a:lstStyle/>
          <a:p>
            <a:pPr>
              <a:defRPr sz="1075" b="0" i="0" u="none" strike="noStrike" baseline="0">
                <a:solidFill>
                  <a:schemeClr val="tx1"/>
                </a:solidFill>
                <a:latin typeface="Arial"/>
                <a:ea typeface="Arial"/>
                <a:cs typeface="Arial"/>
              </a:defRPr>
            </a:pPr>
            <a:endParaRPr lang="de-DE"/>
          </a:p>
        </c:txPr>
        <c:crossAx val="157855104"/>
        <c:crosses val="autoZero"/>
        <c:crossBetween val="midCat"/>
        <c:majorUnit val="0.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98973042362001E-2"/>
          <c:y val="5.8787131222331111E-2"/>
          <c:w val="0.90115532734274706"/>
          <c:h val="0.85349565746341793"/>
        </c:manualLayout>
      </c:layout>
      <c:scatterChart>
        <c:scatterStyle val="lineMarker"/>
        <c:varyColors val="0"/>
        <c:ser>
          <c:idx val="0"/>
          <c:order val="0"/>
          <c:tx>
            <c:v>Zeitreihe</c:v>
          </c:tx>
          <c:spPr>
            <a:ln w="25400">
              <a:solidFill>
                <a:srgbClr val="000000"/>
              </a:solidFill>
              <a:prstDash val="solid"/>
            </a:ln>
          </c:spPr>
          <c:marker>
            <c:symbol val="none"/>
          </c:marker>
          <c:xVal>
            <c:numRef>
              <c:f>'trend 3'!$P$3:$P$252</c:f>
              <c:numCache>
                <c:formatCode>d/m/yyyy;@</c:formatCode>
                <c:ptCount val="250"/>
              </c:numCache>
            </c:numRef>
          </c:xVal>
          <c:yVal>
            <c:numRef>
              <c:f>'trend 3'!$Q$3:$Q$252</c:f>
              <c:numCache>
                <c:formatCode>0.00</c:formatCode>
                <c:ptCount val="250"/>
              </c:numCache>
            </c:numRef>
          </c:yVal>
          <c:smooth val="0"/>
          <c:extLst>
            <c:ext xmlns:c16="http://schemas.microsoft.com/office/drawing/2014/chart" uri="{C3380CC4-5D6E-409C-BE32-E72D297353CC}">
              <c16:uniqueId val="{00000000-63B1-4DBD-97C6-0ADF6D4221E3}"/>
            </c:ext>
          </c:extLst>
        </c:ser>
        <c:ser>
          <c:idx val="1"/>
          <c:order val="1"/>
          <c:tx>
            <c:v>Q95</c:v>
          </c:tx>
          <c:spPr>
            <a:ln w="12700">
              <a:solidFill>
                <a:srgbClr val="0000FF"/>
              </a:solidFill>
              <a:prstDash val="sysDash"/>
            </a:ln>
          </c:spPr>
          <c:marker>
            <c:symbol val="none"/>
          </c:marker>
          <c:xVal>
            <c:numRef>
              <c:f>'trend 3'!$A$102:$A$104</c:f>
              <c:numCache>
                <c:formatCode>m/d/yyyy</c:formatCode>
                <c:ptCount val="3"/>
                <c:pt idx="0">
                  <c:v>1</c:v>
                </c:pt>
                <c:pt idx="1">
                  <c:v>0</c:v>
                </c:pt>
                <c:pt idx="2">
                  <c:v>44196</c:v>
                </c:pt>
              </c:numCache>
            </c:numRef>
          </c:xVal>
          <c:yVal>
            <c:numRef>
              <c:f>'trend 3'!$D$102:$D$104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1-63B1-4DBD-97C6-0ADF6D4221E3}"/>
            </c:ext>
          </c:extLst>
        </c:ser>
        <c:ser>
          <c:idx val="2"/>
          <c:order val="2"/>
          <c:tx>
            <c:v>AS Zustrom</c:v>
          </c:tx>
          <c:spPr>
            <a:ln w="12700">
              <a:solidFill>
                <a:srgbClr val="0000FF"/>
              </a:solidFill>
              <a:prstDash val="solid"/>
            </a:ln>
          </c:spPr>
          <c:marker>
            <c:symbol val="none"/>
          </c:marker>
          <c:xVal>
            <c:numRef>
              <c:f>'trend 3'!$A$102:$A$104</c:f>
              <c:numCache>
                <c:formatCode>m/d/yyyy</c:formatCode>
                <c:ptCount val="3"/>
                <c:pt idx="0">
                  <c:v>1</c:v>
                </c:pt>
                <c:pt idx="1">
                  <c:v>0</c:v>
                </c:pt>
                <c:pt idx="2">
                  <c:v>44196</c:v>
                </c:pt>
              </c:numCache>
            </c:numRef>
          </c:xVal>
          <c:yVal>
            <c:numRef>
              <c:f>'trend 3'!$C$102:$C$104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2-63B1-4DBD-97C6-0ADF6D4221E3}"/>
            </c:ext>
          </c:extLst>
        </c:ser>
        <c:ser>
          <c:idx val="7"/>
          <c:order val="3"/>
          <c:tx>
            <c:v>vager Trend</c:v>
          </c:tx>
          <c:spPr>
            <a:ln w="12700">
              <a:solidFill>
                <a:srgbClr val="808080"/>
              </a:solidFill>
              <a:prstDash val="sysDash"/>
            </a:ln>
          </c:spPr>
          <c:marker>
            <c:symbol val="none"/>
          </c:marker>
          <c:xVal>
            <c:numRef>
              <c:f>'trend 3'!$B$113:$B$114</c:f>
              <c:numCache>
                <c:formatCode>d/m/yyyy;@</c:formatCode>
                <c:ptCount val="2"/>
                <c:pt idx="0">
                  <c:v>0</c:v>
                </c:pt>
                <c:pt idx="1">
                  <c:v>0</c:v>
                </c:pt>
              </c:numCache>
            </c:numRef>
          </c:xVal>
          <c:yVal>
            <c:numRef>
              <c:f>'trend 3'!$D$113:$D$114</c:f>
              <c:numCache>
                <c:formatCode>General</c:formatCode>
                <c:ptCount val="2"/>
                <c:pt idx="0">
                  <c:v>0</c:v>
                </c:pt>
                <c:pt idx="1">
                  <c:v>0</c:v>
                </c:pt>
              </c:numCache>
            </c:numRef>
          </c:yVal>
          <c:smooth val="0"/>
          <c:extLst>
            <c:ext xmlns:c16="http://schemas.microsoft.com/office/drawing/2014/chart" uri="{C3380CC4-5D6E-409C-BE32-E72D297353CC}">
              <c16:uniqueId val="{00000003-63B1-4DBD-97C6-0ADF6D4221E3}"/>
            </c:ext>
          </c:extLst>
        </c:ser>
        <c:ser>
          <c:idx val="8"/>
          <c:order val="4"/>
          <c:tx>
            <c:v>Trendlinie</c:v>
          </c:tx>
          <c:spPr>
            <a:ln w="12700">
              <a:solidFill>
                <a:srgbClr val="808080"/>
              </a:solidFill>
              <a:prstDash val="solid"/>
            </a:ln>
          </c:spPr>
          <c:marker>
            <c:symbol val="none"/>
          </c:marker>
          <c:xVal>
            <c:numRef>
              <c:f>'trend 3'!$B$113:$B$114</c:f>
              <c:numCache>
                <c:formatCode>d/m/yyyy;@</c:formatCode>
                <c:ptCount val="2"/>
                <c:pt idx="0">
                  <c:v>0</c:v>
                </c:pt>
                <c:pt idx="1">
                  <c:v>0</c:v>
                </c:pt>
              </c:numCache>
            </c:numRef>
          </c:xVal>
          <c:yVal>
            <c:numRef>
              <c:f>'trend 3'!$E$113:$E$114</c:f>
              <c:numCache>
                <c:formatCode>General</c:formatCode>
                <c:ptCount val="2"/>
                <c:pt idx="0">
                  <c:v>0</c:v>
                </c:pt>
                <c:pt idx="1">
                  <c:v>0</c:v>
                </c:pt>
              </c:numCache>
            </c:numRef>
          </c:yVal>
          <c:smooth val="0"/>
          <c:extLst>
            <c:ext xmlns:c16="http://schemas.microsoft.com/office/drawing/2014/chart" uri="{C3380CC4-5D6E-409C-BE32-E72D297353CC}">
              <c16:uniqueId val="{00000004-63B1-4DBD-97C6-0ADF6D4221E3}"/>
            </c:ext>
          </c:extLst>
        </c:ser>
        <c:ser>
          <c:idx val="3"/>
          <c:order val="5"/>
          <c:tx>
            <c:v>Vorschlag AS</c:v>
          </c:tx>
          <c:spPr>
            <a:ln w="38100">
              <a:solidFill>
                <a:srgbClr val="FF0000"/>
              </a:solidFill>
              <a:prstDash val="solid"/>
            </a:ln>
          </c:spPr>
          <c:marker>
            <c:symbol val="none"/>
          </c:marker>
          <c:xVal>
            <c:numRef>
              <c:f>'trend 3'!$B$35:$C$35</c:f>
              <c:numCache>
                <c:formatCode>m/d/yyyy</c:formatCode>
                <c:ptCount val="2"/>
              </c:numCache>
            </c:numRef>
          </c:xVal>
          <c:yVal>
            <c:numRef>
              <c:f>'trend 3'!$E$106:$E$107</c:f>
              <c:numCache>
                <c:formatCode>0.0000</c:formatCode>
                <c:ptCount val="2"/>
                <c:pt idx="0">
                  <c:v>0</c:v>
                </c:pt>
                <c:pt idx="1">
                  <c:v>0</c:v>
                </c:pt>
              </c:numCache>
            </c:numRef>
          </c:yVal>
          <c:smooth val="0"/>
          <c:extLst>
            <c:ext xmlns:c16="http://schemas.microsoft.com/office/drawing/2014/chart" uri="{C3380CC4-5D6E-409C-BE32-E72D297353CC}">
              <c16:uniqueId val="{00000005-63B1-4DBD-97C6-0ADF6D4221E3}"/>
            </c:ext>
          </c:extLst>
        </c:ser>
        <c:ser>
          <c:idx val="4"/>
          <c:order val="6"/>
          <c:tx>
            <c:v>Geltungsspanne</c:v>
          </c:tx>
          <c:spPr>
            <a:ln w="12700">
              <a:solidFill>
                <a:srgbClr val="808080"/>
              </a:solidFill>
              <a:prstDash val="lgDashDot"/>
            </a:ln>
          </c:spPr>
          <c:marker>
            <c:symbol val="none"/>
          </c:marker>
          <c:xVal>
            <c:numRef>
              <c:f>'trend 3'!$B$105:$B$106</c:f>
              <c:numCache>
                <c:formatCode>m/d/yyyy</c:formatCode>
                <c:ptCount val="2"/>
                <c:pt idx="0">
                  <c:v>0</c:v>
                </c:pt>
                <c:pt idx="1">
                  <c:v>0</c:v>
                </c:pt>
              </c:numCache>
            </c:numRef>
          </c:xVal>
          <c:yVal>
            <c:numRef>
              <c:f>'trend 3'!$C$105:$C$106</c:f>
              <c:numCache>
                <c:formatCode>0</c:formatCode>
                <c:ptCount val="2"/>
                <c:pt idx="0">
                  <c:v>0</c:v>
                </c:pt>
                <c:pt idx="1">
                  <c:v>100000</c:v>
                </c:pt>
              </c:numCache>
            </c:numRef>
          </c:yVal>
          <c:smooth val="0"/>
          <c:extLst>
            <c:ext xmlns:c16="http://schemas.microsoft.com/office/drawing/2014/chart" uri="{C3380CC4-5D6E-409C-BE32-E72D297353CC}">
              <c16:uniqueId val="{00000006-63B1-4DBD-97C6-0ADF6D4221E3}"/>
            </c:ext>
          </c:extLst>
        </c:ser>
        <c:ser>
          <c:idx val="6"/>
          <c:order val="7"/>
          <c:tx>
            <c:v>Geltungsspanneu</c:v>
          </c:tx>
          <c:spPr>
            <a:ln w="12700">
              <a:solidFill>
                <a:srgbClr val="808080"/>
              </a:solidFill>
              <a:prstDash val="lgDashDot"/>
            </a:ln>
          </c:spPr>
          <c:marker>
            <c:symbol val="none"/>
          </c:marker>
          <c:xVal>
            <c:numRef>
              <c:f>'trend 3'!$A$105:$A$106</c:f>
              <c:numCache>
                <c:formatCode>m/d/yyyy</c:formatCode>
                <c:ptCount val="2"/>
                <c:pt idx="0">
                  <c:v>0</c:v>
                </c:pt>
                <c:pt idx="1">
                  <c:v>0</c:v>
                </c:pt>
              </c:numCache>
            </c:numRef>
          </c:xVal>
          <c:yVal>
            <c:numRef>
              <c:f>'trend 3'!$C$105:$C$106</c:f>
              <c:numCache>
                <c:formatCode>0</c:formatCode>
                <c:ptCount val="2"/>
                <c:pt idx="0">
                  <c:v>0</c:v>
                </c:pt>
                <c:pt idx="1">
                  <c:v>100000</c:v>
                </c:pt>
              </c:numCache>
            </c:numRef>
          </c:yVal>
          <c:smooth val="0"/>
          <c:extLst>
            <c:ext xmlns:c16="http://schemas.microsoft.com/office/drawing/2014/chart" uri="{C3380CC4-5D6E-409C-BE32-E72D297353CC}">
              <c16:uniqueId val="{00000007-63B1-4DBD-97C6-0ADF6D4221E3}"/>
            </c:ext>
          </c:extLst>
        </c:ser>
        <c:ser>
          <c:idx val="9"/>
          <c:order val="8"/>
          <c:tx>
            <c:v>Projektionswert</c:v>
          </c:tx>
          <c:spPr>
            <a:ln w="28575">
              <a:noFill/>
            </a:ln>
          </c:spPr>
          <c:marker>
            <c:symbol val="circle"/>
            <c:size val="7"/>
            <c:spPr>
              <a:noFill/>
              <a:ln>
                <a:solidFill>
                  <a:srgbClr val="0000FF"/>
                </a:solidFill>
                <a:prstDash val="solid"/>
              </a:ln>
            </c:spPr>
          </c:marker>
          <c:xVal>
            <c:numRef>
              <c:f>'trend 3'!$B$35:$C$35</c:f>
              <c:numCache>
                <c:formatCode>m/d/yyyy</c:formatCode>
                <c:ptCount val="2"/>
              </c:numCache>
            </c:numRef>
          </c:xVal>
          <c:yVal>
            <c:numRef>
              <c:f>'trend 3'!$E$102:$E$103</c:f>
              <c:numCache>
                <c:formatCode>0.000</c:formatCode>
                <c:ptCount val="2"/>
                <c:pt idx="0">
                  <c:v>0</c:v>
                </c:pt>
                <c:pt idx="1">
                  <c:v>0</c:v>
                </c:pt>
              </c:numCache>
            </c:numRef>
          </c:yVal>
          <c:smooth val="0"/>
          <c:extLst>
            <c:ext xmlns:c16="http://schemas.microsoft.com/office/drawing/2014/chart" uri="{C3380CC4-5D6E-409C-BE32-E72D297353CC}">
              <c16:uniqueId val="{00000008-63B1-4DBD-97C6-0ADF6D4221E3}"/>
            </c:ext>
          </c:extLst>
        </c:ser>
        <c:ser>
          <c:idx val="10"/>
          <c:order val="9"/>
          <c:tx>
            <c:v>AS abgesichert</c:v>
          </c:tx>
          <c:spPr>
            <a:ln w="3175">
              <a:solidFill>
                <a:srgbClr val="3366FF"/>
              </a:solidFill>
              <a:prstDash val="lgDashDot"/>
            </a:ln>
          </c:spPr>
          <c:marker>
            <c:symbol val="square"/>
            <c:size val="8"/>
            <c:spPr>
              <a:noFill/>
              <a:ln>
                <a:solidFill>
                  <a:srgbClr val="3366FF"/>
                </a:solidFill>
                <a:prstDash val="solid"/>
              </a:ln>
            </c:spPr>
          </c:marker>
          <c:xVal>
            <c:numRef>
              <c:f>'trend 3'!$F$102:$F$103</c:f>
              <c:numCache>
                <c:formatCode>m/d/yyyy</c:formatCode>
                <c:ptCount val="2"/>
                <c:pt idx="0">
                  <c:v>0</c:v>
                </c:pt>
                <c:pt idx="1">
                  <c:v>44196</c:v>
                </c:pt>
              </c:numCache>
            </c:numRef>
          </c:xVal>
          <c:yVal>
            <c:numRef>
              <c:f>'trend 3'!$G$102:$G$103</c:f>
              <c:numCache>
                <c:formatCode>0.0000</c:formatCode>
                <c:ptCount val="2"/>
                <c:pt idx="0">
                  <c:v>0</c:v>
                </c:pt>
                <c:pt idx="1">
                  <c:v>0</c:v>
                </c:pt>
              </c:numCache>
            </c:numRef>
          </c:yVal>
          <c:smooth val="0"/>
          <c:extLst>
            <c:ext xmlns:c16="http://schemas.microsoft.com/office/drawing/2014/chart" uri="{C3380CC4-5D6E-409C-BE32-E72D297353CC}">
              <c16:uniqueId val="{00000009-63B1-4DBD-97C6-0ADF6D4221E3}"/>
            </c:ext>
          </c:extLst>
        </c:ser>
        <c:ser>
          <c:idx val="5"/>
          <c:order val="10"/>
          <c:tx>
            <c:v>AS Abstrom</c:v>
          </c:tx>
          <c:spPr>
            <a:ln w="25400">
              <a:solidFill>
                <a:srgbClr val="0000FF"/>
              </a:solidFill>
              <a:prstDash val="solid"/>
            </a:ln>
          </c:spPr>
          <c:marker>
            <c:symbol val="none"/>
          </c:marker>
          <c:xVal>
            <c:numRef>
              <c:f>'trend 3'!$B$102:$B$104</c:f>
              <c:numCache>
                <c:formatCode>m/d/yyyy</c:formatCode>
                <c:ptCount val="3"/>
                <c:pt idx="0">
                  <c:v>1</c:v>
                </c:pt>
                <c:pt idx="1">
                  <c:v>0</c:v>
                </c:pt>
                <c:pt idx="2">
                  <c:v>44196</c:v>
                </c:pt>
              </c:numCache>
            </c:numRef>
          </c:xVal>
          <c:yVal>
            <c:numRef>
              <c:f>'trend 3'!$C$102:$C$104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A-63B1-4DBD-97C6-0ADF6D4221E3}"/>
            </c:ext>
          </c:extLst>
        </c:ser>
        <c:dLbls>
          <c:showLegendKey val="0"/>
          <c:showVal val="0"/>
          <c:showCatName val="0"/>
          <c:showSerName val="0"/>
          <c:showPercent val="0"/>
          <c:showBubbleSize val="0"/>
        </c:dLbls>
        <c:axId val="158790400"/>
        <c:axId val="158791936"/>
      </c:scatterChart>
      <c:valAx>
        <c:axId val="158790400"/>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75" b="0" i="0" u="none" strike="noStrike" baseline="0">
                <a:solidFill>
                  <a:schemeClr val="tx1"/>
                </a:solidFill>
                <a:latin typeface="Arial"/>
                <a:ea typeface="Arial"/>
                <a:cs typeface="Arial"/>
              </a:defRPr>
            </a:pPr>
            <a:endParaRPr lang="de-DE"/>
          </a:p>
        </c:txPr>
        <c:crossAx val="158791936"/>
        <c:crossesAt val="0"/>
        <c:crossBetween val="midCat"/>
        <c:majorUnit val="1461"/>
        <c:minorUnit val="365.25"/>
      </c:valAx>
      <c:valAx>
        <c:axId val="158791936"/>
        <c:scaling>
          <c:orientation val="minMax"/>
          <c:max val="1.5"/>
          <c:min val="0"/>
        </c:scaling>
        <c:delete val="0"/>
        <c:axPos val="l"/>
        <c:numFmt formatCode="0.0" sourceLinked="0"/>
        <c:majorTickMark val="out"/>
        <c:minorTickMark val="in"/>
        <c:tickLblPos val="nextTo"/>
        <c:spPr>
          <a:ln w="3175">
            <a:solidFill>
              <a:srgbClr val="000000"/>
            </a:solidFill>
            <a:prstDash val="solid"/>
          </a:ln>
        </c:spPr>
        <c:txPr>
          <a:bodyPr rot="0" vert="horz"/>
          <a:lstStyle/>
          <a:p>
            <a:pPr>
              <a:defRPr sz="1175" b="0" i="0" u="none" strike="noStrike" baseline="0">
                <a:solidFill>
                  <a:schemeClr val="tx1"/>
                </a:solidFill>
                <a:latin typeface="Arial"/>
                <a:ea typeface="Arial"/>
                <a:cs typeface="Arial"/>
              </a:defRPr>
            </a:pPr>
            <a:endParaRPr lang="de-DE"/>
          </a:p>
        </c:txPr>
        <c:crossAx val="158790400"/>
        <c:crosses val="autoZero"/>
        <c:crossBetween val="midCat"/>
        <c:majorUnit val="0.5"/>
      </c:valAx>
    </c:plotArea>
    <c:legend>
      <c:legendPos val="r"/>
      <c:legendEntry>
        <c:idx val="3"/>
        <c:delete val="1"/>
      </c:legendEntry>
      <c:legendEntry>
        <c:idx val="7"/>
        <c:delete val="1"/>
      </c:legendEntry>
      <c:layout>
        <c:manualLayout>
          <c:xMode val="edge"/>
          <c:yMode val="edge"/>
          <c:x val="0.60412721014663584"/>
          <c:y val="3.7045385421242943E-2"/>
          <c:w val="0.37314847470413504"/>
          <c:h val="0.1759095670981041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chemeClr val="bg2">
        <a:lumMod val="90000"/>
      </a:schemeClr>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verticalDpi="120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1923076923077"/>
          <c:y val="9.2198900843932993E-2"/>
          <c:w val="0.80769230769230771"/>
          <c:h val="0.85106677702091993"/>
        </c:manualLayout>
      </c:layout>
      <c:scatterChart>
        <c:scatterStyle val="lineMarker"/>
        <c:varyColors val="0"/>
        <c:ser>
          <c:idx val="0"/>
          <c:order val="0"/>
          <c:tx>
            <c:v>Residuen</c:v>
          </c:tx>
          <c:spPr>
            <a:ln w="12700">
              <a:solidFill>
                <a:srgbClr val="808080"/>
              </a:solidFill>
              <a:prstDash val="solid"/>
            </a:ln>
          </c:spPr>
          <c:marker>
            <c:symbol val="diamond"/>
            <c:size val="3"/>
            <c:spPr>
              <a:solidFill>
                <a:srgbClr val="808080"/>
              </a:solidFill>
              <a:ln>
                <a:solidFill>
                  <a:srgbClr val="808080"/>
                </a:solidFill>
                <a:prstDash val="solid"/>
              </a:ln>
            </c:spPr>
          </c:marker>
          <c:xVal>
            <c:numRef>
              <c:f>'trend 4'!$P$3:$P$252</c:f>
              <c:numCache>
                <c:formatCode>d/m/yyyy;@</c:formatCode>
                <c:ptCount val="250"/>
              </c:numCache>
            </c:numRef>
          </c:xVal>
          <c:yVal>
            <c:numRef>
              <c:f>'trend 4'!$S$3:$S$252</c:f>
              <c:numCache>
                <c:formatCode>0.0000</c:formatCode>
                <c:ptCount val="2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numCache>
            </c:numRef>
          </c:yVal>
          <c:smooth val="0"/>
          <c:extLst>
            <c:ext xmlns:c16="http://schemas.microsoft.com/office/drawing/2014/chart" uri="{C3380CC4-5D6E-409C-BE32-E72D297353CC}">
              <c16:uniqueId val="{00000000-67AA-4B8C-B924-901253C484F7}"/>
            </c:ext>
          </c:extLst>
        </c:ser>
        <c:dLbls>
          <c:showLegendKey val="0"/>
          <c:showVal val="0"/>
          <c:showCatName val="0"/>
          <c:showSerName val="0"/>
          <c:showPercent val="0"/>
          <c:showBubbleSize val="0"/>
        </c:dLbls>
        <c:axId val="160054272"/>
        <c:axId val="161350784"/>
      </c:scatterChart>
      <c:valAx>
        <c:axId val="160054272"/>
        <c:scaling>
          <c:orientation val="minMax"/>
          <c:max val="39447"/>
          <c:min val="32874"/>
        </c:scaling>
        <c:delete val="0"/>
        <c:axPos val="b"/>
        <c:numFmt formatCode="[$-407]mmmmm\ yy;@" sourceLinked="0"/>
        <c:majorTickMark val="out"/>
        <c:minorTickMark val="in"/>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61350784"/>
        <c:crosses val="autoZero"/>
        <c:crossBetween val="midCat"/>
        <c:majorUnit val="1461"/>
        <c:minorUnit val="365.25"/>
      </c:valAx>
      <c:valAx>
        <c:axId val="161350784"/>
        <c:scaling>
          <c:orientation val="minMax"/>
          <c:max val="1"/>
          <c:min val="-1"/>
        </c:scaling>
        <c:delete val="0"/>
        <c:axPos val="l"/>
        <c:numFmt formatCode="0.0" sourceLinked="0"/>
        <c:majorTickMark val="in"/>
        <c:minorTickMark val="none"/>
        <c:tickLblPos val="nextTo"/>
        <c:spPr>
          <a:ln w="3175">
            <a:solidFill>
              <a:srgbClr val="000000"/>
            </a:solidFill>
            <a:prstDash val="solid"/>
          </a:ln>
        </c:spPr>
        <c:txPr>
          <a:bodyPr rot="0" vert="horz"/>
          <a:lstStyle/>
          <a:p>
            <a:pPr>
              <a:defRPr sz="1075" b="0" i="0" u="none" strike="noStrike" baseline="0">
                <a:solidFill>
                  <a:schemeClr val="tx1"/>
                </a:solidFill>
                <a:latin typeface="Arial"/>
                <a:ea typeface="Arial"/>
                <a:cs typeface="Arial"/>
              </a:defRPr>
            </a:pPr>
            <a:endParaRPr lang="de-DE"/>
          </a:p>
        </c:txPr>
        <c:crossAx val="160054272"/>
        <c:crosses val="autoZero"/>
        <c:crossBetween val="midCat"/>
        <c:majorUnit val="0.2"/>
      </c:valAx>
      <c:spPr>
        <a:solidFill>
          <a:srgbClr val="FFFFFF"/>
        </a:solidFill>
        <a:ln w="12700">
          <a:solidFill>
            <a:srgbClr val="808080"/>
          </a:solidFill>
          <a:prstDash val="solid"/>
        </a:ln>
      </c:spPr>
    </c:plotArea>
    <c:plotVisOnly val="1"/>
    <c:dispBlanksAs val="gap"/>
    <c:showDLblsOverMax val="0"/>
  </c:chart>
  <c:spPr>
    <a:solidFill>
      <a:schemeClr val="bg2">
        <a:lumMod val="90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98973042362001E-2"/>
          <c:y val="5.8787131222331111E-2"/>
          <c:w val="0.90115532734274706"/>
          <c:h val="0.85349565746341793"/>
        </c:manualLayout>
      </c:layout>
      <c:scatterChart>
        <c:scatterStyle val="lineMarker"/>
        <c:varyColors val="0"/>
        <c:ser>
          <c:idx val="0"/>
          <c:order val="0"/>
          <c:tx>
            <c:v>Zeitreihe</c:v>
          </c:tx>
          <c:spPr>
            <a:ln w="25400">
              <a:solidFill>
                <a:srgbClr val="000000"/>
              </a:solidFill>
              <a:prstDash val="solid"/>
            </a:ln>
          </c:spPr>
          <c:marker>
            <c:symbol val="none"/>
          </c:marker>
          <c:xVal>
            <c:numRef>
              <c:f>'trend 4'!$P$3:$P$252</c:f>
              <c:numCache>
                <c:formatCode>d/m/yyyy;@</c:formatCode>
                <c:ptCount val="250"/>
              </c:numCache>
            </c:numRef>
          </c:xVal>
          <c:yVal>
            <c:numRef>
              <c:f>'trend 4'!$Q$3:$Q$252</c:f>
              <c:numCache>
                <c:formatCode>0.00</c:formatCode>
                <c:ptCount val="250"/>
              </c:numCache>
            </c:numRef>
          </c:yVal>
          <c:smooth val="0"/>
          <c:extLst>
            <c:ext xmlns:c16="http://schemas.microsoft.com/office/drawing/2014/chart" uri="{C3380CC4-5D6E-409C-BE32-E72D297353CC}">
              <c16:uniqueId val="{00000000-DD85-41E2-8587-EE4D09F2EE2E}"/>
            </c:ext>
          </c:extLst>
        </c:ser>
        <c:ser>
          <c:idx val="1"/>
          <c:order val="1"/>
          <c:tx>
            <c:v>Q95</c:v>
          </c:tx>
          <c:spPr>
            <a:ln w="12700">
              <a:solidFill>
                <a:srgbClr val="0000FF"/>
              </a:solidFill>
              <a:prstDash val="sysDash"/>
            </a:ln>
          </c:spPr>
          <c:marker>
            <c:symbol val="none"/>
          </c:marker>
          <c:xVal>
            <c:numRef>
              <c:f>'trend 4'!$A$102:$A$104</c:f>
              <c:numCache>
                <c:formatCode>m/d/yyyy</c:formatCode>
                <c:ptCount val="3"/>
                <c:pt idx="0">
                  <c:v>1</c:v>
                </c:pt>
                <c:pt idx="1">
                  <c:v>0</c:v>
                </c:pt>
                <c:pt idx="2">
                  <c:v>44196</c:v>
                </c:pt>
              </c:numCache>
            </c:numRef>
          </c:xVal>
          <c:yVal>
            <c:numRef>
              <c:f>'trend 4'!$D$102:$D$104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1-DD85-41E2-8587-EE4D09F2EE2E}"/>
            </c:ext>
          </c:extLst>
        </c:ser>
        <c:ser>
          <c:idx val="2"/>
          <c:order val="2"/>
          <c:tx>
            <c:v>AS Zustrom</c:v>
          </c:tx>
          <c:spPr>
            <a:ln w="12700">
              <a:solidFill>
                <a:srgbClr val="0000FF"/>
              </a:solidFill>
              <a:prstDash val="solid"/>
            </a:ln>
          </c:spPr>
          <c:marker>
            <c:symbol val="none"/>
          </c:marker>
          <c:xVal>
            <c:numRef>
              <c:f>'trend 4'!$A$102:$A$104</c:f>
              <c:numCache>
                <c:formatCode>m/d/yyyy</c:formatCode>
                <c:ptCount val="3"/>
                <c:pt idx="0">
                  <c:v>1</c:v>
                </c:pt>
                <c:pt idx="1">
                  <c:v>0</c:v>
                </c:pt>
                <c:pt idx="2">
                  <c:v>44196</c:v>
                </c:pt>
              </c:numCache>
            </c:numRef>
          </c:xVal>
          <c:yVal>
            <c:numRef>
              <c:f>'trend 4'!$C$102:$C$104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2-DD85-41E2-8587-EE4D09F2EE2E}"/>
            </c:ext>
          </c:extLst>
        </c:ser>
        <c:ser>
          <c:idx val="7"/>
          <c:order val="3"/>
          <c:tx>
            <c:v>vager Trend</c:v>
          </c:tx>
          <c:spPr>
            <a:ln w="12700">
              <a:solidFill>
                <a:srgbClr val="808080"/>
              </a:solidFill>
              <a:prstDash val="sysDash"/>
            </a:ln>
          </c:spPr>
          <c:marker>
            <c:symbol val="none"/>
          </c:marker>
          <c:xVal>
            <c:numRef>
              <c:f>'trend 4'!$B$113:$B$114</c:f>
              <c:numCache>
                <c:formatCode>d/m/yyyy;@</c:formatCode>
                <c:ptCount val="2"/>
                <c:pt idx="0">
                  <c:v>0</c:v>
                </c:pt>
                <c:pt idx="1">
                  <c:v>0</c:v>
                </c:pt>
              </c:numCache>
            </c:numRef>
          </c:xVal>
          <c:yVal>
            <c:numRef>
              <c:f>'trend 4'!$D$113:$D$114</c:f>
              <c:numCache>
                <c:formatCode>General</c:formatCode>
                <c:ptCount val="2"/>
                <c:pt idx="0">
                  <c:v>0</c:v>
                </c:pt>
                <c:pt idx="1">
                  <c:v>0</c:v>
                </c:pt>
              </c:numCache>
            </c:numRef>
          </c:yVal>
          <c:smooth val="0"/>
          <c:extLst>
            <c:ext xmlns:c16="http://schemas.microsoft.com/office/drawing/2014/chart" uri="{C3380CC4-5D6E-409C-BE32-E72D297353CC}">
              <c16:uniqueId val="{00000003-DD85-41E2-8587-EE4D09F2EE2E}"/>
            </c:ext>
          </c:extLst>
        </c:ser>
        <c:ser>
          <c:idx val="8"/>
          <c:order val="4"/>
          <c:tx>
            <c:v>Trendlinie</c:v>
          </c:tx>
          <c:spPr>
            <a:ln w="12700">
              <a:solidFill>
                <a:srgbClr val="808080"/>
              </a:solidFill>
              <a:prstDash val="solid"/>
            </a:ln>
          </c:spPr>
          <c:marker>
            <c:symbol val="none"/>
          </c:marker>
          <c:xVal>
            <c:numRef>
              <c:f>'trend 4'!$B$113:$B$114</c:f>
              <c:numCache>
                <c:formatCode>d/m/yyyy;@</c:formatCode>
                <c:ptCount val="2"/>
                <c:pt idx="0">
                  <c:v>0</c:v>
                </c:pt>
                <c:pt idx="1">
                  <c:v>0</c:v>
                </c:pt>
              </c:numCache>
            </c:numRef>
          </c:xVal>
          <c:yVal>
            <c:numRef>
              <c:f>'trend 4'!$E$113:$E$114</c:f>
              <c:numCache>
                <c:formatCode>General</c:formatCode>
                <c:ptCount val="2"/>
                <c:pt idx="0">
                  <c:v>0</c:v>
                </c:pt>
                <c:pt idx="1">
                  <c:v>0</c:v>
                </c:pt>
              </c:numCache>
            </c:numRef>
          </c:yVal>
          <c:smooth val="0"/>
          <c:extLst>
            <c:ext xmlns:c16="http://schemas.microsoft.com/office/drawing/2014/chart" uri="{C3380CC4-5D6E-409C-BE32-E72D297353CC}">
              <c16:uniqueId val="{00000004-DD85-41E2-8587-EE4D09F2EE2E}"/>
            </c:ext>
          </c:extLst>
        </c:ser>
        <c:ser>
          <c:idx val="3"/>
          <c:order val="5"/>
          <c:tx>
            <c:v>Vorschlag AS</c:v>
          </c:tx>
          <c:spPr>
            <a:ln w="38100">
              <a:solidFill>
                <a:srgbClr val="FF0000"/>
              </a:solidFill>
              <a:prstDash val="solid"/>
            </a:ln>
          </c:spPr>
          <c:marker>
            <c:symbol val="none"/>
          </c:marker>
          <c:xVal>
            <c:numRef>
              <c:f>'trend 4'!$B$35:$C$35</c:f>
              <c:numCache>
                <c:formatCode>m/d/yyyy</c:formatCode>
                <c:ptCount val="2"/>
              </c:numCache>
            </c:numRef>
          </c:xVal>
          <c:yVal>
            <c:numRef>
              <c:f>'trend 4'!$E$106:$E$107</c:f>
              <c:numCache>
                <c:formatCode>0.0000</c:formatCode>
                <c:ptCount val="2"/>
                <c:pt idx="0">
                  <c:v>0</c:v>
                </c:pt>
                <c:pt idx="1">
                  <c:v>0</c:v>
                </c:pt>
              </c:numCache>
            </c:numRef>
          </c:yVal>
          <c:smooth val="0"/>
          <c:extLst>
            <c:ext xmlns:c16="http://schemas.microsoft.com/office/drawing/2014/chart" uri="{C3380CC4-5D6E-409C-BE32-E72D297353CC}">
              <c16:uniqueId val="{00000005-DD85-41E2-8587-EE4D09F2EE2E}"/>
            </c:ext>
          </c:extLst>
        </c:ser>
        <c:ser>
          <c:idx val="4"/>
          <c:order val="6"/>
          <c:tx>
            <c:v>Geltungsspanne</c:v>
          </c:tx>
          <c:spPr>
            <a:ln w="12700">
              <a:solidFill>
                <a:srgbClr val="808080"/>
              </a:solidFill>
              <a:prstDash val="lgDashDot"/>
            </a:ln>
          </c:spPr>
          <c:marker>
            <c:symbol val="none"/>
          </c:marker>
          <c:xVal>
            <c:numRef>
              <c:f>'trend 4'!$B$105:$B$106</c:f>
              <c:numCache>
                <c:formatCode>m/d/yyyy</c:formatCode>
                <c:ptCount val="2"/>
                <c:pt idx="0">
                  <c:v>0</c:v>
                </c:pt>
                <c:pt idx="1">
                  <c:v>0</c:v>
                </c:pt>
              </c:numCache>
            </c:numRef>
          </c:xVal>
          <c:yVal>
            <c:numRef>
              <c:f>'trend 4'!$C$105:$C$106</c:f>
              <c:numCache>
                <c:formatCode>0</c:formatCode>
                <c:ptCount val="2"/>
                <c:pt idx="0">
                  <c:v>0</c:v>
                </c:pt>
                <c:pt idx="1">
                  <c:v>100000</c:v>
                </c:pt>
              </c:numCache>
            </c:numRef>
          </c:yVal>
          <c:smooth val="0"/>
          <c:extLst>
            <c:ext xmlns:c16="http://schemas.microsoft.com/office/drawing/2014/chart" uri="{C3380CC4-5D6E-409C-BE32-E72D297353CC}">
              <c16:uniqueId val="{00000006-DD85-41E2-8587-EE4D09F2EE2E}"/>
            </c:ext>
          </c:extLst>
        </c:ser>
        <c:ser>
          <c:idx val="6"/>
          <c:order val="7"/>
          <c:tx>
            <c:v>Geltungsspanneu</c:v>
          </c:tx>
          <c:spPr>
            <a:ln w="12700">
              <a:solidFill>
                <a:srgbClr val="808080"/>
              </a:solidFill>
              <a:prstDash val="lgDashDot"/>
            </a:ln>
          </c:spPr>
          <c:marker>
            <c:symbol val="none"/>
          </c:marker>
          <c:xVal>
            <c:numRef>
              <c:f>'trend 4'!$A$105:$A$106</c:f>
              <c:numCache>
                <c:formatCode>m/d/yyyy</c:formatCode>
                <c:ptCount val="2"/>
                <c:pt idx="0">
                  <c:v>0</c:v>
                </c:pt>
                <c:pt idx="1">
                  <c:v>0</c:v>
                </c:pt>
              </c:numCache>
            </c:numRef>
          </c:xVal>
          <c:yVal>
            <c:numRef>
              <c:f>'trend 4'!$C$105:$C$106</c:f>
              <c:numCache>
                <c:formatCode>0</c:formatCode>
                <c:ptCount val="2"/>
                <c:pt idx="0">
                  <c:v>0</c:v>
                </c:pt>
                <c:pt idx="1">
                  <c:v>100000</c:v>
                </c:pt>
              </c:numCache>
            </c:numRef>
          </c:yVal>
          <c:smooth val="0"/>
          <c:extLst>
            <c:ext xmlns:c16="http://schemas.microsoft.com/office/drawing/2014/chart" uri="{C3380CC4-5D6E-409C-BE32-E72D297353CC}">
              <c16:uniqueId val="{00000007-DD85-41E2-8587-EE4D09F2EE2E}"/>
            </c:ext>
          </c:extLst>
        </c:ser>
        <c:ser>
          <c:idx val="9"/>
          <c:order val="8"/>
          <c:tx>
            <c:v>Projektionswert</c:v>
          </c:tx>
          <c:spPr>
            <a:ln w="28575">
              <a:noFill/>
            </a:ln>
          </c:spPr>
          <c:marker>
            <c:symbol val="circle"/>
            <c:size val="7"/>
            <c:spPr>
              <a:noFill/>
              <a:ln>
                <a:solidFill>
                  <a:srgbClr val="0000FF"/>
                </a:solidFill>
                <a:prstDash val="solid"/>
              </a:ln>
            </c:spPr>
          </c:marker>
          <c:xVal>
            <c:numRef>
              <c:f>'trend 4'!$B$35:$C$35</c:f>
              <c:numCache>
                <c:formatCode>m/d/yyyy</c:formatCode>
                <c:ptCount val="2"/>
              </c:numCache>
            </c:numRef>
          </c:xVal>
          <c:yVal>
            <c:numRef>
              <c:f>'trend 4'!$E$102:$E$103</c:f>
              <c:numCache>
                <c:formatCode>0.000</c:formatCode>
                <c:ptCount val="2"/>
                <c:pt idx="0">
                  <c:v>0</c:v>
                </c:pt>
                <c:pt idx="1">
                  <c:v>0</c:v>
                </c:pt>
              </c:numCache>
            </c:numRef>
          </c:yVal>
          <c:smooth val="0"/>
          <c:extLst>
            <c:ext xmlns:c16="http://schemas.microsoft.com/office/drawing/2014/chart" uri="{C3380CC4-5D6E-409C-BE32-E72D297353CC}">
              <c16:uniqueId val="{00000008-DD85-41E2-8587-EE4D09F2EE2E}"/>
            </c:ext>
          </c:extLst>
        </c:ser>
        <c:ser>
          <c:idx val="10"/>
          <c:order val="9"/>
          <c:tx>
            <c:v>AS abgesichert</c:v>
          </c:tx>
          <c:spPr>
            <a:ln w="3175">
              <a:solidFill>
                <a:srgbClr val="3366FF"/>
              </a:solidFill>
              <a:prstDash val="lgDashDot"/>
            </a:ln>
          </c:spPr>
          <c:marker>
            <c:symbol val="square"/>
            <c:size val="8"/>
            <c:spPr>
              <a:noFill/>
              <a:ln>
                <a:solidFill>
                  <a:srgbClr val="3366FF"/>
                </a:solidFill>
                <a:prstDash val="solid"/>
              </a:ln>
            </c:spPr>
          </c:marker>
          <c:xVal>
            <c:numRef>
              <c:f>'trend 4'!$F$102:$F$103</c:f>
              <c:numCache>
                <c:formatCode>m/d/yyyy</c:formatCode>
                <c:ptCount val="2"/>
                <c:pt idx="0">
                  <c:v>0</c:v>
                </c:pt>
                <c:pt idx="1">
                  <c:v>44196</c:v>
                </c:pt>
              </c:numCache>
            </c:numRef>
          </c:xVal>
          <c:yVal>
            <c:numRef>
              <c:f>'trend 4'!$G$102:$G$103</c:f>
              <c:numCache>
                <c:formatCode>0.0000</c:formatCode>
                <c:ptCount val="2"/>
                <c:pt idx="0">
                  <c:v>0</c:v>
                </c:pt>
                <c:pt idx="1">
                  <c:v>0</c:v>
                </c:pt>
              </c:numCache>
            </c:numRef>
          </c:yVal>
          <c:smooth val="0"/>
          <c:extLst>
            <c:ext xmlns:c16="http://schemas.microsoft.com/office/drawing/2014/chart" uri="{C3380CC4-5D6E-409C-BE32-E72D297353CC}">
              <c16:uniqueId val="{00000009-DD85-41E2-8587-EE4D09F2EE2E}"/>
            </c:ext>
          </c:extLst>
        </c:ser>
        <c:ser>
          <c:idx val="5"/>
          <c:order val="10"/>
          <c:tx>
            <c:v>AS Abstrom</c:v>
          </c:tx>
          <c:spPr>
            <a:ln w="25400">
              <a:solidFill>
                <a:srgbClr val="0000FF"/>
              </a:solidFill>
              <a:prstDash val="solid"/>
            </a:ln>
          </c:spPr>
          <c:marker>
            <c:symbol val="none"/>
          </c:marker>
          <c:xVal>
            <c:numRef>
              <c:f>'trend 4'!$B$102:$B$104</c:f>
              <c:numCache>
                <c:formatCode>m/d/yyyy</c:formatCode>
                <c:ptCount val="3"/>
                <c:pt idx="0">
                  <c:v>1</c:v>
                </c:pt>
                <c:pt idx="1">
                  <c:v>0</c:v>
                </c:pt>
                <c:pt idx="2">
                  <c:v>44196</c:v>
                </c:pt>
              </c:numCache>
            </c:numRef>
          </c:xVal>
          <c:yVal>
            <c:numRef>
              <c:f>'trend 4'!$C$102:$C$104</c:f>
              <c:numCache>
                <c:formatCode>0.000</c:formatCode>
                <c:ptCount val="3"/>
                <c:pt idx="0">
                  <c:v>0</c:v>
                </c:pt>
                <c:pt idx="1">
                  <c:v>0</c:v>
                </c:pt>
                <c:pt idx="2" formatCode="0.0000">
                  <c:v>0</c:v>
                </c:pt>
              </c:numCache>
            </c:numRef>
          </c:yVal>
          <c:smooth val="0"/>
          <c:extLst>
            <c:ext xmlns:c16="http://schemas.microsoft.com/office/drawing/2014/chart" uri="{C3380CC4-5D6E-409C-BE32-E72D297353CC}">
              <c16:uniqueId val="{0000000A-DD85-41E2-8587-EE4D09F2EE2E}"/>
            </c:ext>
          </c:extLst>
        </c:ser>
        <c:dLbls>
          <c:showLegendKey val="0"/>
          <c:showVal val="0"/>
          <c:showCatName val="0"/>
          <c:showSerName val="0"/>
          <c:showPercent val="0"/>
          <c:showBubbleSize val="0"/>
        </c:dLbls>
        <c:axId val="161452416"/>
        <c:axId val="161453952"/>
      </c:scatterChart>
      <c:valAx>
        <c:axId val="161452416"/>
        <c:scaling>
          <c:orientation val="minMax"/>
          <c:max val="46022"/>
          <c:min val="35796"/>
        </c:scaling>
        <c:delete val="0"/>
        <c:axPos val="b"/>
        <c:numFmt formatCode="yyyy" sourceLinked="0"/>
        <c:majorTickMark val="out"/>
        <c:minorTickMark val="in"/>
        <c:tickLblPos val="nextTo"/>
        <c:spPr>
          <a:ln w="3175">
            <a:solidFill>
              <a:srgbClr val="000000"/>
            </a:solidFill>
            <a:prstDash val="solid"/>
          </a:ln>
        </c:spPr>
        <c:txPr>
          <a:bodyPr rot="0" vert="horz"/>
          <a:lstStyle/>
          <a:p>
            <a:pPr>
              <a:defRPr sz="1175" b="0" i="0" u="none" strike="noStrike" baseline="0">
                <a:solidFill>
                  <a:schemeClr val="tx1"/>
                </a:solidFill>
                <a:latin typeface="Arial"/>
                <a:ea typeface="Arial"/>
                <a:cs typeface="Arial"/>
              </a:defRPr>
            </a:pPr>
            <a:endParaRPr lang="de-DE"/>
          </a:p>
        </c:txPr>
        <c:crossAx val="161453952"/>
        <c:crossesAt val="0"/>
        <c:crossBetween val="midCat"/>
        <c:majorUnit val="1461"/>
        <c:minorUnit val="365.25"/>
      </c:valAx>
      <c:valAx>
        <c:axId val="161453952"/>
        <c:scaling>
          <c:orientation val="minMax"/>
          <c:max val="1.5"/>
          <c:min val="0"/>
        </c:scaling>
        <c:delete val="0"/>
        <c:axPos val="l"/>
        <c:numFmt formatCode="0.0" sourceLinked="0"/>
        <c:majorTickMark val="out"/>
        <c:minorTickMark val="in"/>
        <c:tickLblPos val="nextTo"/>
        <c:spPr>
          <a:ln w="3175">
            <a:solidFill>
              <a:srgbClr val="000000"/>
            </a:solidFill>
            <a:prstDash val="solid"/>
          </a:ln>
        </c:spPr>
        <c:txPr>
          <a:bodyPr rot="0" vert="horz"/>
          <a:lstStyle/>
          <a:p>
            <a:pPr>
              <a:defRPr sz="1175" b="0" i="0" u="none" strike="noStrike" baseline="0">
                <a:solidFill>
                  <a:schemeClr val="tx1"/>
                </a:solidFill>
                <a:latin typeface="Arial"/>
                <a:ea typeface="Arial"/>
                <a:cs typeface="Arial"/>
              </a:defRPr>
            </a:pPr>
            <a:endParaRPr lang="de-DE"/>
          </a:p>
        </c:txPr>
        <c:crossAx val="161452416"/>
        <c:crosses val="autoZero"/>
        <c:crossBetween val="midCat"/>
        <c:majorUnit val="0.5"/>
      </c:valAx>
    </c:plotArea>
    <c:legend>
      <c:legendPos val="r"/>
      <c:legendEntry>
        <c:idx val="3"/>
        <c:delete val="1"/>
      </c:legendEntry>
      <c:legendEntry>
        <c:idx val="7"/>
        <c:delete val="1"/>
      </c:legendEntry>
      <c:layout>
        <c:manualLayout>
          <c:xMode val="edge"/>
          <c:yMode val="edge"/>
          <c:x val="0.60412721014663584"/>
          <c:y val="3.7045385421242943E-2"/>
          <c:w val="0.37314847470413504"/>
          <c:h val="0.1759095670981041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chemeClr val="bg2">
        <a:lumMod val="90000"/>
      </a:schemeClr>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12700</xdr:colOff>
      <xdr:row>23</xdr:row>
      <xdr:rowOff>0</xdr:rowOff>
    </xdr:from>
    <xdr:to>
      <xdr:col>11</xdr:col>
      <xdr:colOff>0</xdr:colOff>
      <xdr:row>42</xdr:row>
      <xdr:rowOff>66675</xdr:rowOff>
    </xdr:to>
    <xdr:graphicFrame macro="">
      <xdr:nvGraphicFramePr>
        <xdr:cNvPr id="14643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146434"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332014" cy="165943"/>
    <xdr:sp macro="" textlink="">
      <xdr:nvSpPr>
        <xdr:cNvPr id="146435" name="Text Box 3"/>
        <xdr:cNvSpPr txBox="1">
          <a:spLocks noChangeArrowheads="1"/>
        </xdr:cNvSpPr>
      </xdr:nvSpPr>
      <xdr:spPr bwMode="auto">
        <a:xfrm>
          <a:off x="5032375" y="219075"/>
          <a:ext cx="332014" cy="165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de-DE" sz="1000" b="0" i="0" u="none" strike="noStrike" baseline="0">
              <a:solidFill>
                <a:schemeClr val="tx1"/>
              </a:solidFill>
              <a:latin typeface="Arial"/>
              <a:cs typeface="Arial"/>
            </a:rPr>
            <a:t>pH [-]</a:t>
          </a:r>
        </a:p>
      </xdr:txBody>
    </xdr:sp>
    <xdr:clientData/>
  </xdr:oneCellAnchor>
  <xdr:oneCellAnchor>
    <xdr:from>
      <xdr:col>10</xdr:col>
      <xdr:colOff>152400</xdr:colOff>
      <xdr:row>40</xdr:row>
      <xdr:rowOff>142875</xdr:rowOff>
    </xdr:from>
    <xdr:ext cx="394723" cy="200119"/>
    <xdr:sp macro="" textlink="">
      <xdr:nvSpPr>
        <xdr:cNvPr id="146436" name="Text Box 4"/>
        <xdr:cNvSpPr txBox="1">
          <a:spLocks noChangeArrowheads="1"/>
        </xdr:cNvSpPr>
      </xdr:nvSpPr>
      <xdr:spPr bwMode="auto">
        <a:xfrm>
          <a:off x="10820400" y="7775575"/>
          <a:ext cx="394723"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pH [-]</a:t>
          </a:r>
        </a:p>
      </xdr:txBody>
    </xdr:sp>
    <xdr:clientData/>
  </xdr:oneCellAnchor>
  <xdr:oneCellAnchor>
    <xdr:from>
      <xdr:col>4</xdr:col>
      <xdr:colOff>47625</xdr:colOff>
      <xdr:row>24</xdr:row>
      <xdr:rowOff>114300</xdr:rowOff>
    </xdr:from>
    <xdr:ext cx="104067" cy="200119"/>
    <xdr:sp macro="" textlink="">
      <xdr:nvSpPr>
        <xdr:cNvPr id="146437" name="Text Box 5"/>
        <xdr:cNvSpPr txBox="1">
          <a:spLocks noChangeArrowheads="1"/>
        </xdr:cNvSpPr>
      </xdr:nvSpPr>
      <xdr:spPr bwMode="auto">
        <a:xfrm>
          <a:off x="4289425" y="46863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146438" name="Text Box 6"/>
        <xdr:cNvSpPr txBox="1">
          <a:spLocks noChangeArrowheads="1"/>
        </xdr:cNvSpPr>
      </xdr:nvSpPr>
      <xdr:spPr bwMode="auto">
        <a:xfrm>
          <a:off x="10010775"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14848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14848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1643848" cy="200119"/>
    <xdr:sp macro="" textlink="">
      <xdr:nvSpPr>
        <xdr:cNvPr id="148483" name="Text Box 3"/>
        <xdr:cNvSpPr txBox="1">
          <a:spLocks noChangeArrowheads="1"/>
        </xdr:cNvSpPr>
      </xdr:nvSpPr>
      <xdr:spPr bwMode="auto">
        <a:xfrm>
          <a:off x="4575175" y="219075"/>
          <a:ext cx="1643848"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eLF [Einheit siehe links]</a:t>
          </a:r>
        </a:p>
      </xdr:txBody>
    </xdr:sp>
    <xdr:clientData/>
  </xdr:oneCellAnchor>
  <xdr:oneCellAnchor>
    <xdr:from>
      <xdr:col>9</xdr:col>
      <xdr:colOff>28575</xdr:colOff>
      <xdr:row>41</xdr:row>
      <xdr:rowOff>25400</xdr:rowOff>
    </xdr:from>
    <xdr:ext cx="1643848" cy="200119"/>
    <xdr:sp macro="" textlink="">
      <xdr:nvSpPr>
        <xdr:cNvPr id="148484" name="Text Box 4"/>
        <xdr:cNvSpPr txBox="1">
          <a:spLocks noChangeArrowheads="1"/>
        </xdr:cNvSpPr>
      </xdr:nvSpPr>
      <xdr:spPr bwMode="auto">
        <a:xfrm>
          <a:off x="9223375" y="7848600"/>
          <a:ext cx="1643848"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eLF [Einheit siehe links]</a:t>
          </a:r>
        </a:p>
      </xdr:txBody>
    </xdr:sp>
    <xdr:clientData/>
  </xdr:oneCellAnchor>
  <xdr:oneCellAnchor>
    <xdr:from>
      <xdr:col>4</xdr:col>
      <xdr:colOff>317500</xdr:colOff>
      <xdr:row>24</xdr:row>
      <xdr:rowOff>76200</xdr:rowOff>
    </xdr:from>
    <xdr:ext cx="104067" cy="200119"/>
    <xdr:sp macro="" textlink="">
      <xdr:nvSpPr>
        <xdr:cNvPr id="148485" name="Text Box 5"/>
        <xdr:cNvSpPr txBox="1">
          <a:spLocks noChangeArrowheads="1"/>
        </xdr:cNvSpPr>
      </xdr:nvSpPr>
      <xdr:spPr bwMode="auto">
        <a:xfrm>
          <a:off x="5054600"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148486" name="Text Box 6"/>
        <xdr:cNvSpPr txBox="1">
          <a:spLocks noChangeArrowheads="1"/>
        </xdr:cNvSpPr>
      </xdr:nvSpPr>
      <xdr:spPr bwMode="auto">
        <a:xfrm>
          <a:off x="10010775"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85637" cy="200119"/>
    <xdr:sp macro="" textlink="">
      <xdr:nvSpPr>
        <xdr:cNvPr id="4" name="Text Box 3"/>
        <xdr:cNvSpPr txBox="1">
          <a:spLocks noChangeArrowheads="1"/>
        </xdr:cNvSpPr>
      </xdr:nvSpPr>
      <xdr:spPr bwMode="auto">
        <a:xfrm>
          <a:off x="5032375" y="219075"/>
          <a:ext cx="68563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Na [mg/L]</a:t>
          </a:r>
        </a:p>
      </xdr:txBody>
    </xdr:sp>
    <xdr:clientData/>
  </xdr:oneCellAnchor>
  <xdr:oneCellAnchor>
    <xdr:from>
      <xdr:col>9</xdr:col>
      <xdr:colOff>676275</xdr:colOff>
      <xdr:row>40</xdr:row>
      <xdr:rowOff>152400</xdr:rowOff>
    </xdr:from>
    <xdr:ext cx="685637" cy="200119"/>
    <xdr:sp macro="" textlink="">
      <xdr:nvSpPr>
        <xdr:cNvPr id="5" name="Text Box 4"/>
        <xdr:cNvSpPr txBox="1">
          <a:spLocks noChangeArrowheads="1"/>
        </xdr:cNvSpPr>
      </xdr:nvSpPr>
      <xdr:spPr bwMode="auto">
        <a:xfrm>
          <a:off x="9832975" y="7785100"/>
          <a:ext cx="68563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Na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5041900"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10010775"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591572" cy="200119"/>
    <xdr:sp macro="" textlink="">
      <xdr:nvSpPr>
        <xdr:cNvPr id="4" name="Text Box 3"/>
        <xdr:cNvSpPr txBox="1">
          <a:spLocks noChangeArrowheads="1"/>
        </xdr:cNvSpPr>
      </xdr:nvSpPr>
      <xdr:spPr bwMode="auto">
        <a:xfrm>
          <a:off x="4524375" y="219075"/>
          <a:ext cx="591572"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K [mg/L]</a:t>
          </a:r>
        </a:p>
      </xdr:txBody>
    </xdr:sp>
    <xdr:clientData/>
  </xdr:oneCellAnchor>
  <xdr:oneCellAnchor>
    <xdr:from>
      <xdr:col>9</xdr:col>
      <xdr:colOff>676275</xdr:colOff>
      <xdr:row>40</xdr:row>
      <xdr:rowOff>152400</xdr:rowOff>
    </xdr:from>
    <xdr:ext cx="591572" cy="200119"/>
    <xdr:sp macro="" textlink="">
      <xdr:nvSpPr>
        <xdr:cNvPr id="5" name="Text Box 4"/>
        <xdr:cNvSpPr txBox="1">
          <a:spLocks noChangeArrowheads="1"/>
        </xdr:cNvSpPr>
      </xdr:nvSpPr>
      <xdr:spPr bwMode="auto">
        <a:xfrm>
          <a:off x="9820275" y="7785100"/>
          <a:ext cx="591572"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K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5041900"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10010775"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702693" cy="200119"/>
    <xdr:sp macro="" textlink="">
      <xdr:nvSpPr>
        <xdr:cNvPr id="4" name="Text Box 3"/>
        <xdr:cNvSpPr txBox="1">
          <a:spLocks noChangeArrowheads="1"/>
        </xdr:cNvSpPr>
      </xdr:nvSpPr>
      <xdr:spPr bwMode="auto">
        <a:xfrm>
          <a:off x="4524375" y="219075"/>
          <a:ext cx="702693"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Mg [mg/L]</a:t>
          </a:r>
        </a:p>
      </xdr:txBody>
    </xdr:sp>
    <xdr:clientData/>
  </xdr:oneCellAnchor>
  <xdr:oneCellAnchor>
    <xdr:from>
      <xdr:col>9</xdr:col>
      <xdr:colOff>676275</xdr:colOff>
      <xdr:row>40</xdr:row>
      <xdr:rowOff>152400</xdr:rowOff>
    </xdr:from>
    <xdr:ext cx="702693" cy="200119"/>
    <xdr:sp macro="" textlink="">
      <xdr:nvSpPr>
        <xdr:cNvPr id="5" name="Text Box 4"/>
        <xdr:cNvSpPr txBox="1">
          <a:spLocks noChangeArrowheads="1"/>
        </xdr:cNvSpPr>
      </xdr:nvSpPr>
      <xdr:spPr bwMode="auto">
        <a:xfrm>
          <a:off x="9820275" y="7785100"/>
          <a:ext cx="702693"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Mg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85637" cy="200119"/>
    <xdr:sp macro="" textlink="">
      <xdr:nvSpPr>
        <xdr:cNvPr id="4" name="Text Box 3"/>
        <xdr:cNvSpPr txBox="1">
          <a:spLocks noChangeArrowheads="1"/>
        </xdr:cNvSpPr>
      </xdr:nvSpPr>
      <xdr:spPr bwMode="auto">
        <a:xfrm>
          <a:off x="4524375" y="219075"/>
          <a:ext cx="68563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Ca [mg/L]</a:t>
          </a:r>
        </a:p>
      </xdr:txBody>
    </xdr:sp>
    <xdr:clientData/>
  </xdr:oneCellAnchor>
  <xdr:oneCellAnchor>
    <xdr:from>
      <xdr:col>9</xdr:col>
      <xdr:colOff>676275</xdr:colOff>
      <xdr:row>40</xdr:row>
      <xdr:rowOff>152400</xdr:rowOff>
    </xdr:from>
    <xdr:ext cx="685637" cy="200119"/>
    <xdr:sp macro="" textlink="">
      <xdr:nvSpPr>
        <xdr:cNvPr id="5" name="Text Box 4"/>
        <xdr:cNvSpPr txBox="1">
          <a:spLocks noChangeArrowheads="1"/>
        </xdr:cNvSpPr>
      </xdr:nvSpPr>
      <xdr:spPr bwMode="auto">
        <a:xfrm>
          <a:off x="9820275" y="7785100"/>
          <a:ext cx="68563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Ca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848181" cy="200119"/>
    <xdr:sp macro="" textlink="">
      <xdr:nvSpPr>
        <xdr:cNvPr id="4" name="Text Box 3"/>
        <xdr:cNvSpPr txBox="1">
          <a:spLocks noChangeArrowheads="1"/>
        </xdr:cNvSpPr>
      </xdr:nvSpPr>
      <xdr:spPr bwMode="auto">
        <a:xfrm>
          <a:off x="4524375" y="219075"/>
          <a:ext cx="848181"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Nges [mg/L]</a:t>
          </a:r>
        </a:p>
      </xdr:txBody>
    </xdr:sp>
    <xdr:clientData/>
  </xdr:oneCellAnchor>
  <xdr:oneCellAnchor>
    <xdr:from>
      <xdr:col>9</xdr:col>
      <xdr:colOff>676275</xdr:colOff>
      <xdr:row>40</xdr:row>
      <xdr:rowOff>152400</xdr:rowOff>
    </xdr:from>
    <xdr:ext cx="848181" cy="200119"/>
    <xdr:sp macro="" textlink="">
      <xdr:nvSpPr>
        <xdr:cNvPr id="5" name="Text Box 4"/>
        <xdr:cNvSpPr txBox="1">
          <a:spLocks noChangeArrowheads="1"/>
        </xdr:cNvSpPr>
      </xdr:nvSpPr>
      <xdr:spPr bwMode="auto">
        <a:xfrm>
          <a:off x="9820275" y="7785100"/>
          <a:ext cx="848181"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Nges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967701" cy="200119"/>
    <xdr:sp macro="" textlink="">
      <xdr:nvSpPr>
        <xdr:cNvPr id="4" name="Text Box 3"/>
        <xdr:cNvSpPr txBox="1">
          <a:spLocks noChangeArrowheads="1"/>
        </xdr:cNvSpPr>
      </xdr:nvSpPr>
      <xdr:spPr bwMode="auto">
        <a:xfrm>
          <a:off x="4524375" y="219075"/>
          <a:ext cx="967701"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NO3-N [mg/L]</a:t>
          </a:r>
        </a:p>
      </xdr:txBody>
    </xdr:sp>
    <xdr:clientData/>
  </xdr:oneCellAnchor>
  <xdr:oneCellAnchor>
    <xdr:from>
      <xdr:col>9</xdr:col>
      <xdr:colOff>612775</xdr:colOff>
      <xdr:row>41</xdr:row>
      <xdr:rowOff>38100</xdr:rowOff>
    </xdr:from>
    <xdr:ext cx="967701" cy="200119"/>
    <xdr:sp macro="" textlink="">
      <xdr:nvSpPr>
        <xdr:cNvPr id="5" name="Text Box 4"/>
        <xdr:cNvSpPr txBox="1">
          <a:spLocks noChangeArrowheads="1"/>
        </xdr:cNvSpPr>
      </xdr:nvSpPr>
      <xdr:spPr bwMode="auto">
        <a:xfrm>
          <a:off x="9756775" y="7861300"/>
          <a:ext cx="967701"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NO3-N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959109" cy="200119"/>
    <xdr:sp macro="" textlink="">
      <xdr:nvSpPr>
        <xdr:cNvPr id="4" name="Text Box 3"/>
        <xdr:cNvSpPr txBox="1">
          <a:spLocks noChangeArrowheads="1"/>
        </xdr:cNvSpPr>
      </xdr:nvSpPr>
      <xdr:spPr bwMode="auto">
        <a:xfrm>
          <a:off x="4524375" y="219075"/>
          <a:ext cx="95910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NH4-N [mg/L]</a:t>
          </a:r>
        </a:p>
      </xdr:txBody>
    </xdr:sp>
    <xdr:clientData/>
  </xdr:oneCellAnchor>
  <xdr:oneCellAnchor>
    <xdr:from>
      <xdr:col>9</xdr:col>
      <xdr:colOff>676275</xdr:colOff>
      <xdr:row>40</xdr:row>
      <xdr:rowOff>152400</xdr:rowOff>
    </xdr:from>
    <xdr:ext cx="959109" cy="200119"/>
    <xdr:sp macro="" textlink="">
      <xdr:nvSpPr>
        <xdr:cNvPr id="5" name="Text Box 4"/>
        <xdr:cNvSpPr txBox="1">
          <a:spLocks noChangeArrowheads="1"/>
        </xdr:cNvSpPr>
      </xdr:nvSpPr>
      <xdr:spPr bwMode="auto">
        <a:xfrm>
          <a:off x="9820275" y="7785100"/>
          <a:ext cx="95910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NH4-N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796885" cy="200119"/>
    <xdr:sp macro="" textlink="">
      <xdr:nvSpPr>
        <xdr:cNvPr id="4" name="Text Box 3"/>
        <xdr:cNvSpPr txBox="1">
          <a:spLocks noChangeArrowheads="1"/>
        </xdr:cNvSpPr>
      </xdr:nvSpPr>
      <xdr:spPr bwMode="auto">
        <a:xfrm>
          <a:off x="4524375" y="219075"/>
          <a:ext cx="796885"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SO4 [mg/L]</a:t>
          </a:r>
        </a:p>
      </xdr:txBody>
    </xdr:sp>
    <xdr:clientData/>
  </xdr:oneCellAnchor>
  <xdr:oneCellAnchor>
    <xdr:from>
      <xdr:col>9</xdr:col>
      <xdr:colOff>676275</xdr:colOff>
      <xdr:row>40</xdr:row>
      <xdr:rowOff>152400</xdr:rowOff>
    </xdr:from>
    <xdr:ext cx="796885" cy="200119"/>
    <xdr:sp macro="" textlink="">
      <xdr:nvSpPr>
        <xdr:cNvPr id="5" name="Text Box 4"/>
        <xdr:cNvSpPr txBox="1">
          <a:spLocks noChangeArrowheads="1"/>
        </xdr:cNvSpPr>
      </xdr:nvSpPr>
      <xdr:spPr bwMode="auto">
        <a:xfrm>
          <a:off x="9820275" y="7785100"/>
          <a:ext cx="796885"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SO4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34213" cy="200119"/>
    <xdr:sp macro="" textlink="">
      <xdr:nvSpPr>
        <xdr:cNvPr id="4" name="Text Box 3"/>
        <xdr:cNvSpPr txBox="1">
          <a:spLocks noChangeArrowheads="1"/>
        </xdr:cNvSpPr>
      </xdr:nvSpPr>
      <xdr:spPr bwMode="auto">
        <a:xfrm>
          <a:off x="4524375" y="219075"/>
          <a:ext cx="634213"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Cl [mg/L]</a:t>
          </a:r>
        </a:p>
      </xdr:txBody>
    </xdr:sp>
    <xdr:clientData/>
  </xdr:oneCellAnchor>
  <xdr:oneCellAnchor>
    <xdr:from>
      <xdr:col>9</xdr:col>
      <xdr:colOff>676275</xdr:colOff>
      <xdr:row>40</xdr:row>
      <xdr:rowOff>152400</xdr:rowOff>
    </xdr:from>
    <xdr:ext cx="634213" cy="200119"/>
    <xdr:sp macro="" textlink="">
      <xdr:nvSpPr>
        <xdr:cNvPr id="5" name="Text Box 4"/>
        <xdr:cNvSpPr txBox="1">
          <a:spLocks noChangeArrowheads="1"/>
        </xdr:cNvSpPr>
      </xdr:nvSpPr>
      <xdr:spPr bwMode="auto">
        <a:xfrm>
          <a:off x="9820275" y="7785100"/>
          <a:ext cx="634213"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Cl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813749" cy="200119"/>
    <xdr:sp macro="" textlink="">
      <xdr:nvSpPr>
        <xdr:cNvPr id="4" name="Text Box 3"/>
        <xdr:cNvSpPr txBox="1">
          <a:spLocks noChangeArrowheads="1"/>
        </xdr:cNvSpPr>
      </xdr:nvSpPr>
      <xdr:spPr bwMode="auto">
        <a:xfrm>
          <a:off x="4524375" y="219075"/>
          <a:ext cx="81374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TOC [mg/L]</a:t>
          </a:r>
        </a:p>
      </xdr:txBody>
    </xdr:sp>
    <xdr:clientData/>
  </xdr:oneCellAnchor>
  <xdr:oneCellAnchor>
    <xdr:from>
      <xdr:col>9</xdr:col>
      <xdr:colOff>676275</xdr:colOff>
      <xdr:row>40</xdr:row>
      <xdr:rowOff>152400</xdr:rowOff>
    </xdr:from>
    <xdr:ext cx="813749" cy="200119"/>
    <xdr:sp macro="" textlink="">
      <xdr:nvSpPr>
        <xdr:cNvPr id="5" name="Text Box 4"/>
        <xdr:cNvSpPr txBox="1">
          <a:spLocks noChangeArrowheads="1"/>
        </xdr:cNvSpPr>
      </xdr:nvSpPr>
      <xdr:spPr bwMode="auto">
        <a:xfrm>
          <a:off x="9820275" y="7785100"/>
          <a:ext cx="81374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TOC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582916" cy="200119"/>
    <xdr:sp macro="" textlink="">
      <xdr:nvSpPr>
        <xdr:cNvPr id="4" name="Text Box 3"/>
        <xdr:cNvSpPr txBox="1">
          <a:spLocks noChangeArrowheads="1"/>
        </xdr:cNvSpPr>
      </xdr:nvSpPr>
      <xdr:spPr bwMode="auto">
        <a:xfrm>
          <a:off x="4524375" y="219075"/>
          <a:ext cx="582916"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F [mg/L]</a:t>
          </a:r>
        </a:p>
      </xdr:txBody>
    </xdr:sp>
    <xdr:clientData/>
  </xdr:oneCellAnchor>
  <xdr:oneCellAnchor>
    <xdr:from>
      <xdr:col>9</xdr:col>
      <xdr:colOff>676275</xdr:colOff>
      <xdr:row>40</xdr:row>
      <xdr:rowOff>152400</xdr:rowOff>
    </xdr:from>
    <xdr:ext cx="540148" cy="200119"/>
    <xdr:sp macro="" textlink="">
      <xdr:nvSpPr>
        <xdr:cNvPr id="5" name="Text Box 4"/>
        <xdr:cNvSpPr txBox="1">
          <a:spLocks noChangeArrowheads="1"/>
        </xdr:cNvSpPr>
      </xdr:nvSpPr>
      <xdr:spPr bwMode="auto">
        <a:xfrm>
          <a:off x="9820275" y="7785100"/>
          <a:ext cx="540148"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F[mg/L]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856581" cy="200119"/>
    <xdr:sp macro="" textlink="">
      <xdr:nvSpPr>
        <xdr:cNvPr id="4" name="Text Box 3"/>
        <xdr:cNvSpPr txBox="1">
          <a:spLocks noChangeArrowheads="1"/>
        </xdr:cNvSpPr>
      </xdr:nvSpPr>
      <xdr:spPr bwMode="auto">
        <a:xfrm>
          <a:off x="4524375" y="219075"/>
          <a:ext cx="856581"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Cn lfr [mg/L]</a:t>
          </a:r>
        </a:p>
      </xdr:txBody>
    </xdr:sp>
    <xdr:clientData/>
  </xdr:oneCellAnchor>
  <xdr:oneCellAnchor>
    <xdr:from>
      <xdr:col>9</xdr:col>
      <xdr:colOff>676275</xdr:colOff>
      <xdr:row>40</xdr:row>
      <xdr:rowOff>152400</xdr:rowOff>
    </xdr:from>
    <xdr:ext cx="856581" cy="200119"/>
    <xdr:sp macro="" textlink="">
      <xdr:nvSpPr>
        <xdr:cNvPr id="5" name="Text Box 4"/>
        <xdr:cNvSpPr txBox="1">
          <a:spLocks noChangeArrowheads="1"/>
        </xdr:cNvSpPr>
      </xdr:nvSpPr>
      <xdr:spPr bwMode="auto">
        <a:xfrm>
          <a:off x="9820275" y="7785100"/>
          <a:ext cx="856581"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Cn lfr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85637" cy="200119"/>
    <xdr:sp macro="" textlink="">
      <xdr:nvSpPr>
        <xdr:cNvPr id="4" name="Text Box 3"/>
        <xdr:cNvSpPr txBox="1">
          <a:spLocks noChangeArrowheads="1"/>
        </xdr:cNvSpPr>
      </xdr:nvSpPr>
      <xdr:spPr bwMode="auto">
        <a:xfrm>
          <a:off x="4524375" y="219075"/>
          <a:ext cx="68563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Cn [mg/L]</a:t>
          </a:r>
        </a:p>
      </xdr:txBody>
    </xdr:sp>
    <xdr:clientData/>
  </xdr:oneCellAnchor>
  <xdr:oneCellAnchor>
    <xdr:from>
      <xdr:col>9</xdr:col>
      <xdr:colOff>676275</xdr:colOff>
      <xdr:row>40</xdr:row>
      <xdr:rowOff>152400</xdr:rowOff>
    </xdr:from>
    <xdr:ext cx="685637" cy="200119"/>
    <xdr:sp macro="" textlink="">
      <xdr:nvSpPr>
        <xdr:cNvPr id="5" name="Text Box 4"/>
        <xdr:cNvSpPr txBox="1">
          <a:spLocks noChangeArrowheads="1"/>
        </xdr:cNvSpPr>
      </xdr:nvSpPr>
      <xdr:spPr bwMode="auto">
        <a:xfrm>
          <a:off x="9820275" y="7785100"/>
          <a:ext cx="68563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Cn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591572" cy="200119"/>
    <xdr:sp macro="" textlink="">
      <xdr:nvSpPr>
        <xdr:cNvPr id="4" name="Text Box 3"/>
        <xdr:cNvSpPr txBox="1">
          <a:spLocks noChangeArrowheads="1"/>
        </xdr:cNvSpPr>
      </xdr:nvSpPr>
      <xdr:spPr bwMode="auto">
        <a:xfrm>
          <a:off x="4524375" y="219075"/>
          <a:ext cx="591572"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B [mg/L]</a:t>
          </a:r>
        </a:p>
      </xdr:txBody>
    </xdr:sp>
    <xdr:clientData/>
  </xdr:oneCellAnchor>
  <xdr:oneCellAnchor>
    <xdr:from>
      <xdr:col>9</xdr:col>
      <xdr:colOff>942975</xdr:colOff>
      <xdr:row>40</xdr:row>
      <xdr:rowOff>152400</xdr:rowOff>
    </xdr:from>
    <xdr:ext cx="591572" cy="200119"/>
    <xdr:sp macro="" textlink="">
      <xdr:nvSpPr>
        <xdr:cNvPr id="5" name="Text Box 4"/>
        <xdr:cNvSpPr txBox="1">
          <a:spLocks noChangeArrowheads="1"/>
        </xdr:cNvSpPr>
      </xdr:nvSpPr>
      <xdr:spPr bwMode="auto">
        <a:xfrm>
          <a:off x="10086975" y="7785100"/>
          <a:ext cx="591572"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B [mg/L]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97307" cy="200119"/>
    <xdr:sp macro="" textlink="">
      <xdr:nvSpPr>
        <xdr:cNvPr id="4" name="Text Box 3"/>
        <xdr:cNvSpPr txBox="1">
          <a:spLocks noChangeArrowheads="1"/>
        </xdr:cNvSpPr>
      </xdr:nvSpPr>
      <xdr:spPr bwMode="auto">
        <a:xfrm>
          <a:off x="4524375" y="219075"/>
          <a:ext cx="69730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KW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697307" cy="200119"/>
    <xdr:sp macro="" textlink="">
      <xdr:nvSpPr>
        <xdr:cNvPr id="5" name="Text Box 4"/>
        <xdr:cNvSpPr txBox="1">
          <a:spLocks noChangeArrowheads="1"/>
        </xdr:cNvSpPr>
      </xdr:nvSpPr>
      <xdr:spPr bwMode="auto">
        <a:xfrm>
          <a:off x="9959975" y="7785100"/>
          <a:ext cx="69730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KW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757387" cy="200119"/>
    <xdr:sp macro="" textlink="">
      <xdr:nvSpPr>
        <xdr:cNvPr id="4" name="Text Box 3"/>
        <xdr:cNvSpPr txBox="1">
          <a:spLocks noChangeArrowheads="1"/>
        </xdr:cNvSpPr>
      </xdr:nvSpPr>
      <xdr:spPr bwMode="auto">
        <a:xfrm>
          <a:off x="4524375" y="219075"/>
          <a:ext cx="75738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PAK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739775</xdr:colOff>
      <xdr:row>40</xdr:row>
      <xdr:rowOff>177800</xdr:rowOff>
    </xdr:from>
    <xdr:ext cx="757387" cy="200119"/>
    <xdr:sp macro="" textlink="">
      <xdr:nvSpPr>
        <xdr:cNvPr id="5" name="Text Box 4"/>
        <xdr:cNvSpPr txBox="1">
          <a:spLocks noChangeArrowheads="1"/>
        </xdr:cNvSpPr>
      </xdr:nvSpPr>
      <xdr:spPr bwMode="auto">
        <a:xfrm>
          <a:off x="9883775" y="7810500"/>
          <a:ext cx="75738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PAK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774443" cy="200119"/>
    <xdr:sp macro="" textlink="">
      <xdr:nvSpPr>
        <xdr:cNvPr id="4" name="Text Box 3"/>
        <xdr:cNvSpPr txBox="1">
          <a:spLocks noChangeArrowheads="1"/>
        </xdr:cNvSpPr>
      </xdr:nvSpPr>
      <xdr:spPr bwMode="auto">
        <a:xfrm>
          <a:off x="4524375" y="219075"/>
          <a:ext cx="774443"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AOX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676275</xdr:colOff>
      <xdr:row>40</xdr:row>
      <xdr:rowOff>152400</xdr:rowOff>
    </xdr:from>
    <xdr:ext cx="774443" cy="200119"/>
    <xdr:sp macro="" textlink="">
      <xdr:nvSpPr>
        <xdr:cNvPr id="5" name="Text Box 4"/>
        <xdr:cNvSpPr txBox="1">
          <a:spLocks noChangeArrowheads="1"/>
        </xdr:cNvSpPr>
      </xdr:nvSpPr>
      <xdr:spPr bwMode="auto">
        <a:xfrm>
          <a:off x="9820275" y="7785100"/>
          <a:ext cx="774443"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AOX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29018" cy="200119"/>
    <xdr:sp macro="" textlink="">
      <xdr:nvSpPr>
        <xdr:cNvPr id="4" name="Text Box 3"/>
        <xdr:cNvSpPr txBox="1">
          <a:spLocks noChangeArrowheads="1"/>
        </xdr:cNvSpPr>
      </xdr:nvSpPr>
      <xdr:spPr bwMode="auto">
        <a:xfrm>
          <a:off x="4524375" y="219075"/>
          <a:ext cx="629018"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As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629018" cy="200119"/>
    <xdr:sp macro="" textlink="">
      <xdr:nvSpPr>
        <xdr:cNvPr id="5" name="Text Box 4"/>
        <xdr:cNvSpPr txBox="1">
          <a:spLocks noChangeArrowheads="1"/>
        </xdr:cNvSpPr>
      </xdr:nvSpPr>
      <xdr:spPr bwMode="auto">
        <a:xfrm>
          <a:off x="9959975" y="7785100"/>
          <a:ext cx="629018"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As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37675" cy="200119"/>
    <xdr:sp macro="" textlink="">
      <xdr:nvSpPr>
        <xdr:cNvPr id="4" name="Text Box 3"/>
        <xdr:cNvSpPr txBox="1">
          <a:spLocks noChangeArrowheads="1"/>
        </xdr:cNvSpPr>
      </xdr:nvSpPr>
      <xdr:spPr bwMode="auto">
        <a:xfrm>
          <a:off x="4524375" y="219075"/>
          <a:ext cx="637675"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Pb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637675" cy="200119"/>
    <xdr:sp macro="" textlink="">
      <xdr:nvSpPr>
        <xdr:cNvPr id="5" name="Text Box 4"/>
        <xdr:cNvSpPr txBox="1">
          <a:spLocks noChangeArrowheads="1"/>
        </xdr:cNvSpPr>
      </xdr:nvSpPr>
      <xdr:spPr bwMode="auto">
        <a:xfrm>
          <a:off x="9959975" y="7785100"/>
          <a:ext cx="637675"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Pb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46139" cy="200119"/>
    <xdr:sp macro="" textlink="">
      <xdr:nvSpPr>
        <xdr:cNvPr id="4" name="Text Box 3"/>
        <xdr:cNvSpPr txBox="1">
          <a:spLocks noChangeArrowheads="1"/>
        </xdr:cNvSpPr>
      </xdr:nvSpPr>
      <xdr:spPr bwMode="auto">
        <a:xfrm>
          <a:off x="4524375" y="219075"/>
          <a:ext cx="64613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Cd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646139" cy="200119"/>
    <xdr:sp macro="" textlink="">
      <xdr:nvSpPr>
        <xdr:cNvPr id="5" name="Text Box 4"/>
        <xdr:cNvSpPr txBox="1">
          <a:spLocks noChangeArrowheads="1"/>
        </xdr:cNvSpPr>
      </xdr:nvSpPr>
      <xdr:spPr bwMode="auto">
        <a:xfrm>
          <a:off x="9959975" y="7785100"/>
          <a:ext cx="64613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Cd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11771" cy="200119"/>
    <xdr:sp macro="" textlink="">
      <xdr:nvSpPr>
        <xdr:cNvPr id="4" name="Text Box 3"/>
        <xdr:cNvSpPr txBox="1">
          <a:spLocks noChangeArrowheads="1"/>
        </xdr:cNvSpPr>
      </xdr:nvSpPr>
      <xdr:spPr bwMode="auto">
        <a:xfrm>
          <a:off x="4524375" y="219075"/>
          <a:ext cx="611771"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Cr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611771" cy="200119"/>
    <xdr:sp macro="" textlink="">
      <xdr:nvSpPr>
        <xdr:cNvPr id="5" name="Text Box 4"/>
        <xdr:cNvSpPr txBox="1">
          <a:spLocks noChangeArrowheads="1"/>
        </xdr:cNvSpPr>
      </xdr:nvSpPr>
      <xdr:spPr bwMode="auto">
        <a:xfrm>
          <a:off x="9959975" y="7785100"/>
          <a:ext cx="611771"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Cr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46139" cy="200119"/>
    <xdr:sp macro="" textlink="">
      <xdr:nvSpPr>
        <xdr:cNvPr id="4" name="Text Box 3"/>
        <xdr:cNvSpPr txBox="1">
          <a:spLocks noChangeArrowheads="1"/>
        </xdr:cNvSpPr>
      </xdr:nvSpPr>
      <xdr:spPr bwMode="auto">
        <a:xfrm>
          <a:off x="4524375" y="219075"/>
          <a:ext cx="64613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Cu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646139" cy="200119"/>
    <xdr:sp macro="" textlink="">
      <xdr:nvSpPr>
        <xdr:cNvPr id="5" name="Text Box 4"/>
        <xdr:cNvSpPr txBox="1">
          <a:spLocks noChangeArrowheads="1"/>
        </xdr:cNvSpPr>
      </xdr:nvSpPr>
      <xdr:spPr bwMode="auto">
        <a:xfrm>
          <a:off x="9959975" y="7785100"/>
          <a:ext cx="64613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Cu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63195" cy="200119"/>
    <xdr:sp macro="" textlink="">
      <xdr:nvSpPr>
        <xdr:cNvPr id="4" name="Text Box 3"/>
        <xdr:cNvSpPr txBox="1">
          <a:spLocks noChangeArrowheads="1"/>
        </xdr:cNvSpPr>
      </xdr:nvSpPr>
      <xdr:spPr bwMode="auto">
        <a:xfrm>
          <a:off x="4524375" y="219075"/>
          <a:ext cx="663195"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Mb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663195" cy="200119"/>
    <xdr:sp macro="" textlink="">
      <xdr:nvSpPr>
        <xdr:cNvPr id="5" name="Text Box 4"/>
        <xdr:cNvSpPr txBox="1">
          <a:spLocks noChangeArrowheads="1"/>
        </xdr:cNvSpPr>
      </xdr:nvSpPr>
      <xdr:spPr bwMode="auto">
        <a:xfrm>
          <a:off x="9959975" y="7785100"/>
          <a:ext cx="663195"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Mb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594715" cy="200119"/>
    <xdr:sp macro="" textlink="">
      <xdr:nvSpPr>
        <xdr:cNvPr id="4" name="Text Box 3"/>
        <xdr:cNvSpPr txBox="1">
          <a:spLocks noChangeArrowheads="1"/>
        </xdr:cNvSpPr>
      </xdr:nvSpPr>
      <xdr:spPr bwMode="auto">
        <a:xfrm>
          <a:off x="4524375" y="219075"/>
          <a:ext cx="594715"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Ni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594715" cy="200119"/>
    <xdr:sp macro="" textlink="">
      <xdr:nvSpPr>
        <xdr:cNvPr id="5" name="Text Box 4"/>
        <xdr:cNvSpPr txBox="1">
          <a:spLocks noChangeArrowheads="1"/>
        </xdr:cNvSpPr>
      </xdr:nvSpPr>
      <xdr:spPr bwMode="auto">
        <a:xfrm>
          <a:off x="9959975" y="7785100"/>
          <a:ext cx="594715"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Ni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46139" cy="200119"/>
    <xdr:sp macro="" textlink="">
      <xdr:nvSpPr>
        <xdr:cNvPr id="4" name="Text Box 3"/>
        <xdr:cNvSpPr txBox="1">
          <a:spLocks noChangeArrowheads="1"/>
        </xdr:cNvSpPr>
      </xdr:nvSpPr>
      <xdr:spPr bwMode="auto">
        <a:xfrm>
          <a:off x="4524375" y="219075"/>
          <a:ext cx="64613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Hg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646139" cy="200119"/>
    <xdr:sp macro="" textlink="">
      <xdr:nvSpPr>
        <xdr:cNvPr id="5" name="Text Box 4"/>
        <xdr:cNvSpPr txBox="1">
          <a:spLocks noChangeArrowheads="1"/>
        </xdr:cNvSpPr>
      </xdr:nvSpPr>
      <xdr:spPr bwMode="auto">
        <a:xfrm>
          <a:off x="9959975" y="7785100"/>
          <a:ext cx="646139"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Hg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629018" cy="200119"/>
    <xdr:sp macro="" textlink="">
      <xdr:nvSpPr>
        <xdr:cNvPr id="4" name="Text Box 3"/>
        <xdr:cNvSpPr txBox="1">
          <a:spLocks noChangeArrowheads="1"/>
        </xdr:cNvSpPr>
      </xdr:nvSpPr>
      <xdr:spPr bwMode="auto">
        <a:xfrm>
          <a:off x="4524375" y="219075"/>
          <a:ext cx="629018"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Zn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9</xdr:col>
      <xdr:colOff>815975</xdr:colOff>
      <xdr:row>40</xdr:row>
      <xdr:rowOff>152400</xdr:rowOff>
    </xdr:from>
    <xdr:ext cx="629018" cy="200119"/>
    <xdr:sp macro="" textlink="">
      <xdr:nvSpPr>
        <xdr:cNvPr id="5" name="Text Box 4"/>
        <xdr:cNvSpPr txBox="1">
          <a:spLocks noChangeArrowheads="1"/>
        </xdr:cNvSpPr>
      </xdr:nvSpPr>
      <xdr:spPr bwMode="auto">
        <a:xfrm>
          <a:off x="9959975" y="7785100"/>
          <a:ext cx="629018"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Zn [</a:t>
          </a:r>
          <a:r>
            <a:rPr lang="el-GR" sz="1200" b="0" i="0" u="none" strike="noStrike" baseline="0">
              <a:solidFill>
                <a:sysClr val="windowText" lastClr="000000"/>
              </a:solidFill>
              <a:latin typeface="Arial"/>
              <a:cs typeface="Arial"/>
            </a:rPr>
            <a:t>μ</a:t>
          </a:r>
          <a:r>
            <a:rPr lang="de-DE" sz="1200" b="0" i="0" u="none" strike="noStrike" baseline="0">
              <a:solidFill>
                <a:sysClr val="windowText" lastClr="000000"/>
              </a:solidFill>
              <a:latin typeface="Arial"/>
              <a:cs typeface="Arial"/>
            </a:rPr>
            <a:t>g/L]</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2396682" cy="200119"/>
    <xdr:sp macro="" textlink="">
      <xdr:nvSpPr>
        <xdr:cNvPr id="4" name="Text Box 3"/>
        <xdr:cNvSpPr txBox="1">
          <a:spLocks noChangeArrowheads="1"/>
        </xdr:cNvSpPr>
      </xdr:nvSpPr>
      <xdr:spPr bwMode="auto">
        <a:xfrm>
          <a:off x="4524375" y="219075"/>
          <a:ext cx="2396682"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8</xdr:col>
      <xdr:colOff>53975</xdr:colOff>
      <xdr:row>41</xdr:row>
      <xdr:rowOff>12700</xdr:rowOff>
    </xdr:from>
    <xdr:ext cx="2311146" cy="200119"/>
    <xdr:sp macro="" textlink="">
      <xdr:nvSpPr>
        <xdr:cNvPr id="5" name="Text Box 4"/>
        <xdr:cNvSpPr txBox="1">
          <a:spLocks noChangeArrowheads="1"/>
        </xdr:cNvSpPr>
      </xdr:nvSpPr>
      <xdr:spPr bwMode="auto">
        <a:xfrm>
          <a:off x="8410575" y="7835900"/>
          <a:ext cx="2311146"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2396682" cy="200119"/>
    <xdr:sp macro="" textlink="">
      <xdr:nvSpPr>
        <xdr:cNvPr id="4" name="Text Box 3"/>
        <xdr:cNvSpPr txBox="1">
          <a:spLocks noChangeArrowheads="1"/>
        </xdr:cNvSpPr>
      </xdr:nvSpPr>
      <xdr:spPr bwMode="auto">
        <a:xfrm>
          <a:off x="4514850" y="219075"/>
          <a:ext cx="2396682"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8</xdr:col>
      <xdr:colOff>53975</xdr:colOff>
      <xdr:row>41</xdr:row>
      <xdr:rowOff>12700</xdr:rowOff>
    </xdr:from>
    <xdr:ext cx="2311146" cy="200119"/>
    <xdr:sp macro="" textlink="">
      <xdr:nvSpPr>
        <xdr:cNvPr id="5" name="Text Box 4"/>
        <xdr:cNvSpPr txBox="1">
          <a:spLocks noChangeArrowheads="1"/>
        </xdr:cNvSpPr>
      </xdr:nvSpPr>
      <xdr:spPr bwMode="auto">
        <a:xfrm>
          <a:off x="8388350" y="7832725"/>
          <a:ext cx="2311146"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2396682" cy="200119"/>
    <xdr:sp macro="" textlink="">
      <xdr:nvSpPr>
        <xdr:cNvPr id="4" name="Text Box 3"/>
        <xdr:cNvSpPr txBox="1">
          <a:spLocks noChangeArrowheads="1"/>
        </xdr:cNvSpPr>
      </xdr:nvSpPr>
      <xdr:spPr bwMode="auto">
        <a:xfrm>
          <a:off x="4514850" y="219075"/>
          <a:ext cx="2396682"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8</xdr:col>
      <xdr:colOff>53975</xdr:colOff>
      <xdr:row>41</xdr:row>
      <xdr:rowOff>12700</xdr:rowOff>
    </xdr:from>
    <xdr:ext cx="2311146" cy="200119"/>
    <xdr:sp macro="" textlink="">
      <xdr:nvSpPr>
        <xdr:cNvPr id="5" name="Text Box 4"/>
        <xdr:cNvSpPr txBox="1">
          <a:spLocks noChangeArrowheads="1"/>
        </xdr:cNvSpPr>
      </xdr:nvSpPr>
      <xdr:spPr bwMode="auto">
        <a:xfrm>
          <a:off x="8388350" y="7832725"/>
          <a:ext cx="2311146"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2396682" cy="200119"/>
    <xdr:sp macro="" textlink="">
      <xdr:nvSpPr>
        <xdr:cNvPr id="4" name="Text Box 3"/>
        <xdr:cNvSpPr txBox="1">
          <a:spLocks noChangeArrowheads="1"/>
        </xdr:cNvSpPr>
      </xdr:nvSpPr>
      <xdr:spPr bwMode="auto">
        <a:xfrm>
          <a:off x="4514850" y="219075"/>
          <a:ext cx="2396682"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8</xdr:col>
      <xdr:colOff>53975</xdr:colOff>
      <xdr:row>41</xdr:row>
      <xdr:rowOff>12700</xdr:rowOff>
    </xdr:from>
    <xdr:ext cx="2311146" cy="200119"/>
    <xdr:sp macro="" textlink="">
      <xdr:nvSpPr>
        <xdr:cNvPr id="5" name="Text Box 4"/>
        <xdr:cNvSpPr txBox="1">
          <a:spLocks noChangeArrowheads="1"/>
        </xdr:cNvSpPr>
      </xdr:nvSpPr>
      <xdr:spPr bwMode="auto">
        <a:xfrm>
          <a:off x="8388350" y="7832725"/>
          <a:ext cx="2311146"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23</xdr:row>
      <xdr:rowOff>0</xdr:rowOff>
    </xdr:from>
    <xdr:to>
      <xdr:col>10</xdr:col>
      <xdr:colOff>914400</xdr:colOff>
      <xdr:row>42</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9525</xdr:colOff>
      <xdr:row>1</xdr:row>
      <xdr:rowOff>0</xdr:rowOff>
    </xdr:from>
    <xdr:to>
      <xdr:col>10</xdr:col>
      <xdr:colOff>914400</xdr:colOff>
      <xdr:row>21</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295275</xdr:colOff>
      <xdr:row>1</xdr:row>
      <xdr:rowOff>28575</xdr:rowOff>
    </xdr:from>
    <xdr:ext cx="2396682" cy="200119"/>
    <xdr:sp macro="" textlink="">
      <xdr:nvSpPr>
        <xdr:cNvPr id="4" name="Text Box 3"/>
        <xdr:cNvSpPr txBox="1">
          <a:spLocks noChangeArrowheads="1"/>
        </xdr:cNvSpPr>
      </xdr:nvSpPr>
      <xdr:spPr bwMode="auto">
        <a:xfrm>
          <a:off x="4514850" y="219075"/>
          <a:ext cx="2396682"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8</xdr:col>
      <xdr:colOff>53975</xdr:colOff>
      <xdr:row>41</xdr:row>
      <xdr:rowOff>12700</xdr:rowOff>
    </xdr:from>
    <xdr:ext cx="2311146" cy="200119"/>
    <xdr:sp macro="" textlink="">
      <xdr:nvSpPr>
        <xdr:cNvPr id="5" name="Text Box 4"/>
        <xdr:cNvSpPr txBox="1">
          <a:spLocks noChangeArrowheads="1"/>
        </xdr:cNvSpPr>
      </xdr:nvSpPr>
      <xdr:spPr bwMode="auto">
        <a:xfrm>
          <a:off x="8388350" y="7832725"/>
          <a:ext cx="2311146"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Parameter und Einheit siehe links</a:t>
          </a:r>
        </a:p>
      </xdr:txBody>
    </xdr:sp>
    <xdr:clientData/>
  </xdr:oneCellAnchor>
  <xdr:oneCellAnchor>
    <xdr:from>
      <xdr:col>4</xdr:col>
      <xdr:colOff>317500</xdr:colOff>
      <xdr:row>24</xdr:row>
      <xdr:rowOff>76200</xdr:rowOff>
    </xdr:from>
    <xdr:ext cx="104067" cy="200119"/>
    <xdr:sp macro="" textlink="">
      <xdr:nvSpPr>
        <xdr:cNvPr id="6" name="Text Box 5"/>
        <xdr:cNvSpPr txBox="1">
          <a:spLocks noChangeArrowheads="1"/>
        </xdr:cNvSpPr>
      </xdr:nvSpPr>
      <xdr:spPr bwMode="auto">
        <a:xfrm>
          <a:off x="4537075" y="4648200"/>
          <a:ext cx="104067" cy="200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de-DE" sz="1200" b="0" i="0" u="none" strike="noStrike" baseline="0">
              <a:solidFill>
                <a:sysClr val="windowText" lastClr="000000"/>
              </a:solidFill>
              <a:latin typeface="Arial"/>
              <a:cs typeface="Arial"/>
            </a:rPr>
            <a:t>p</a:t>
          </a:r>
        </a:p>
      </xdr:txBody>
    </xdr:sp>
    <xdr:clientData/>
  </xdr:oneCellAnchor>
  <xdr:twoCellAnchor>
    <xdr:from>
      <xdr:col>9</xdr:col>
      <xdr:colOff>390525</xdr:colOff>
      <xdr:row>23</xdr:row>
      <xdr:rowOff>66675</xdr:rowOff>
    </xdr:from>
    <xdr:to>
      <xdr:col>10</xdr:col>
      <xdr:colOff>838200</xdr:colOff>
      <xdr:row>26</xdr:row>
      <xdr:rowOff>161925</xdr:rowOff>
    </xdr:to>
    <xdr:sp macro="" textlink="">
      <xdr:nvSpPr>
        <xdr:cNvPr id="7" name="Text Box 6"/>
        <xdr:cNvSpPr txBox="1">
          <a:spLocks noChangeArrowheads="1"/>
        </xdr:cNvSpPr>
      </xdr:nvSpPr>
      <xdr:spPr bwMode="auto">
        <a:xfrm>
          <a:off x="9505950" y="4448175"/>
          <a:ext cx="1457325" cy="666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FF"/>
              </a:solidFill>
              <a:latin typeface="Arial"/>
              <a:cs typeface="Arial"/>
            </a:rPr>
            <a:t>Normalverteilung</a:t>
          </a: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FF00FF"/>
              </a:solidFill>
              <a:latin typeface="Arial"/>
              <a:cs typeface="Arial"/>
            </a:rPr>
            <a:t>LogNormalverteilung</a:t>
          </a:r>
          <a:endParaRPr lang="de-DE" sz="1200" b="0" i="0" u="none" strike="noStrike" baseline="0">
            <a:solidFill>
              <a:srgbClr val="FF0000"/>
            </a:solidFill>
            <a:latin typeface="Arial"/>
            <a:cs typeface="Arial"/>
          </a:endParaRPr>
        </a:p>
        <a:p>
          <a:pPr algn="l" rtl="0">
            <a:defRPr sz="1000"/>
          </a:pPr>
          <a:r>
            <a:rPr lang="de-DE" sz="1200" b="0" i="0" u="none" strike="noStrike" baseline="0">
              <a:solidFill>
                <a:srgbClr val="808080"/>
              </a:solidFill>
              <a:latin typeface="Arial"/>
              <a:cs typeface="Arial"/>
            </a:rPr>
            <a:t>Original-Histogramm</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34</xdr:row>
      <xdr:rowOff>76200</xdr:rowOff>
    </xdr:from>
    <xdr:to>
      <xdr:col>9</xdr:col>
      <xdr:colOff>406400</xdr:colOff>
      <xdr:row>49</xdr:row>
      <xdr:rowOff>95250</xdr:rowOff>
    </xdr:to>
    <xdr:graphicFrame macro="">
      <xdr:nvGraphicFramePr>
        <xdr:cNvPr id="13824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25400</xdr:colOff>
      <xdr:row>1</xdr:row>
      <xdr:rowOff>63500</xdr:rowOff>
    </xdr:from>
    <xdr:to>
      <xdr:col>14</xdr:col>
      <xdr:colOff>1282700</xdr:colOff>
      <xdr:row>32</xdr:row>
      <xdr:rowOff>76200</xdr:rowOff>
    </xdr:to>
    <xdr:graphicFrame macro="">
      <xdr:nvGraphicFramePr>
        <xdr:cNvPr id="13824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558800</xdr:colOff>
      <xdr:row>1</xdr:row>
      <xdr:rowOff>79375</xdr:rowOff>
    </xdr:from>
    <xdr:ext cx="1590675" cy="352425"/>
    <xdr:sp macro="" textlink="">
      <xdr:nvSpPr>
        <xdr:cNvPr id="138243" name="Text Box 3"/>
        <xdr:cNvSpPr txBox="1">
          <a:spLocks noChangeArrowheads="1"/>
        </xdr:cNvSpPr>
      </xdr:nvSpPr>
      <xdr:spPr bwMode="auto">
        <a:xfrm>
          <a:off x="4902200" y="269875"/>
          <a:ext cx="15906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de-DE" sz="900" b="1" i="0" u="none" strike="noStrike" baseline="0">
              <a:solidFill>
                <a:srgbClr val="000000"/>
              </a:solidFill>
              <a:latin typeface="Arial"/>
              <a:cs typeface="Arial"/>
            </a:rPr>
            <a:t>[Parameter und Einheit</a:t>
          </a:r>
        </a:p>
        <a:p>
          <a:pPr algn="l" rtl="0">
            <a:defRPr sz="1000"/>
          </a:pPr>
          <a:r>
            <a:rPr lang="de-DE" sz="900" b="1" i="0" u="none" strike="noStrike" baseline="0">
              <a:solidFill>
                <a:srgbClr val="000000"/>
              </a:solidFill>
              <a:latin typeface="Arial"/>
              <a:cs typeface="Arial"/>
            </a:rPr>
            <a:t>siehe Arbeitsblatttitel]</a:t>
          </a: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4</xdr:col>
      <xdr:colOff>0</xdr:colOff>
      <xdr:row>34</xdr:row>
      <xdr:rowOff>76200</xdr:rowOff>
    </xdr:from>
    <xdr:to>
      <xdr:col>9</xdr:col>
      <xdr:colOff>406400</xdr:colOff>
      <xdr:row>49</xdr:row>
      <xdr:rowOff>95250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25400</xdr:colOff>
      <xdr:row>1</xdr:row>
      <xdr:rowOff>63500</xdr:rowOff>
    </xdr:from>
    <xdr:to>
      <xdr:col>14</xdr:col>
      <xdr:colOff>1282700</xdr:colOff>
      <xdr:row>32</xdr:row>
      <xdr:rowOff>76200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558800</xdr:colOff>
      <xdr:row>1</xdr:row>
      <xdr:rowOff>79375</xdr:rowOff>
    </xdr:from>
    <xdr:ext cx="1590675" cy="352425"/>
    <xdr:sp macro="" textlink="">
      <xdr:nvSpPr>
        <xdr:cNvPr id="4" name="Text Box 3"/>
        <xdr:cNvSpPr txBox="1">
          <a:spLocks noChangeArrowheads="1"/>
        </xdr:cNvSpPr>
      </xdr:nvSpPr>
      <xdr:spPr bwMode="auto">
        <a:xfrm>
          <a:off x="5026025" y="269875"/>
          <a:ext cx="15906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de-DE" sz="900" b="1" i="0" u="none" strike="noStrike" baseline="0">
              <a:solidFill>
                <a:srgbClr val="000000"/>
              </a:solidFill>
              <a:latin typeface="Arial"/>
              <a:cs typeface="Arial"/>
            </a:rPr>
            <a:t>[Parameter und Einheit</a:t>
          </a:r>
        </a:p>
        <a:p>
          <a:pPr algn="l" rtl="0">
            <a:defRPr sz="1000"/>
          </a:pPr>
          <a:r>
            <a:rPr lang="de-DE" sz="900" b="1" i="0" u="none" strike="noStrike" baseline="0">
              <a:solidFill>
                <a:srgbClr val="000000"/>
              </a:solidFill>
              <a:latin typeface="Arial"/>
              <a:cs typeface="Arial"/>
            </a:rPr>
            <a:t>siehe Arbeitsblatttitel]</a:t>
          </a: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4</xdr:col>
      <xdr:colOff>0</xdr:colOff>
      <xdr:row>34</xdr:row>
      <xdr:rowOff>76200</xdr:rowOff>
    </xdr:from>
    <xdr:to>
      <xdr:col>9</xdr:col>
      <xdr:colOff>406400</xdr:colOff>
      <xdr:row>49</xdr:row>
      <xdr:rowOff>95250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25400</xdr:colOff>
      <xdr:row>1</xdr:row>
      <xdr:rowOff>63500</xdr:rowOff>
    </xdr:from>
    <xdr:to>
      <xdr:col>14</xdr:col>
      <xdr:colOff>1282700</xdr:colOff>
      <xdr:row>32</xdr:row>
      <xdr:rowOff>76200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558800</xdr:colOff>
      <xdr:row>1</xdr:row>
      <xdr:rowOff>79375</xdr:rowOff>
    </xdr:from>
    <xdr:ext cx="1590675" cy="352425"/>
    <xdr:sp macro="" textlink="">
      <xdr:nvSpPr>
        <xdr:cNvPr id="4" name="Text Box 3"/>
        <xdr:cNvSpPr txBox="1">
          <a:spLocks noChangeArrowheads="1"/>
        </xdr:cNvSpPr>
      </xdr:nvSpPr>
      <xdr:spPr bwMode="auto">
        <a:xfrm>
          <a:off x="5026025" y="269875"/>
          <a:ext cx="15906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de-DE" sz="900" b="1" i="0" u="none" strike="noStrike" baseline="0">
              <a:solidFill>
                <a:srgbClr val="000000"/>
              </a:solidFill>
              <a:latin typeface="Arial"/>
              <a:cs typeface="Arial"/>
            </a:rPr>
            <a:t>[Parameter und Einheit</a:t>
          </a:r>
        </a:p>
        <a:p>
          <a:pPr algn="l" rtl="0">
            <a:defRPr sz="1000"/>
          </a:pPr>
          <a:r>
            <a:rPr lang="de-DE" sz="900" b="1" i="0" u="none" strike="noStrike" baseline="0">
              <a:solidFill>
                <a:srgbClr val="000000"/>
              </a:solidFill>
              <a:latin typeface="Arial"/>
              <a:cs typeface="Arial"/>
            </a:rPr>
            <a:t>siehe Arbeitsblatttitel]</a:t>
          </a: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4</xdr:col>
      <xdr:colOff>0</xdr:colOff>
      <xdr:row>34</xdr:row>
      <xdr:rowOff>76200</xdr:rowOff>
    </xdr:from>
    <xdr:to>
      <xdr:col>9</xdr:col>
      <xdr:colOff>406400</xdr:colOff>
      <xdr:row>49</xdr:row>
      <xdr:rowOff>95250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25400</xdr:colOff>
      <xdr:row>1</xdr:row>
      <xdr:rowOff>63500</xdr:rowOff>
    </xdr:from>
    <xdr:to>
      <xdr:col>14</xdr:col>
      <xdr:colOff>1282700</xdr:colOff>
      <xdr:row>32</xdr:row>
      <xdr:rowOff>76200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4</xdr:col>
      <xdr:colOff>558800</xdr:colOff>
      <xdr:row>1</xdr:row>
      <xdr:rowOff>79375</xdr:rowOff>
    </xdr:from>
    <xdr:ext cx="1590675" cy="352425"/>
    <xdr:sp macro="" textlink="">
      <xdr:nvSpPr>
        <xdr:cNvPr id="4" name="Text Box 3"/>
        <xdr:cNvSpPr txBox="1">
          <a:spLocks noChangeArrowheads="1"/>
        </xdr:cNvSpPr>
      </xdr:nvSpPr>
      <xdr:spPr bwMode="auto">
        <a:xfrm>
          <a:off x="5026025" y="269875"/>
          <a:ext cx="15906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de-DE" sz="900" b="1" i="0" u="none" strike="noStrike" baseline="0">
              <a:solidFill>
                <a:srgbClr val="000000"/>
              </a:solidFill>
              <a:latin typeface="Arial"/>
              <a:cs typeface="Arial"/>
            </a:rPr>
            <a:t>[Parameter und Einheit</a:t>
          </a:r>
        </a:p>
        <a:p>
          <a:pPr algn="l" rtl="0">
            <a:defRPr sz="1000"/>
          </a:pPr>
          <a:r>
            <a:rPr lang="de-DE" sz="900" b="1" i="0" u="none" strike="noStrike" baseline="0">
              <a:solidFill>
                <a:srgbClr val="000000"/>
              </a:solidFill>
              <a:latin typeface="Arial"/>
              <a:cs typeface="Arial"/>
            </a:rPr>
            <a:t>siehe Arbeitsblatttitel]</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hyperlink" Target="https://www.lanuv.nrw.de/umwelt/abfall/abfallverwertung-und-beseitigung/deponien/info-service/arbeitshilfe-ausloeseschwellen/"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28515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5.7109375" style="1" customWidth="1"/>
    <col min="13" max="13" width="13.7109375" style="1" customWidth="1"/>
    <col min="14" max="14" width="12.42578125" style="1" bestFit="1" customWidth="1"/>
    <col min="15" max="15" width="11.7109375" style="1" bestFit="1" customWidth="1"/>
    <col min="16" max="16" width="12" style="1" customWidth="1"/>
    <col min="17" max="21" width="11.5703125" style="1"/>
    <col min="22" max="25" width="11.7109375" style="1" bestFit="1" customWidth="1"/>
    <col min="26" max="16384" width="11.5703125" style="1"/>
  </cols>
  <sheetData>
    <row r="1" spans="1:24" ht="15" customHeight="1" x14ac:dyDescent="0.25">
      <c r="A1" s="145" t="s">
        <v>115</v>
      </c>
      <c r="B1" s="146"/>
      <c r="C1" s="146"/>
      <c r="E1" s="148" t="s">
        <v>16</v>
      </c>
      <c r="F1" s="148"/>
      <c r="G1" s="148"/>
      <c r="M1" s="93" t="s">
        <v>116</v>
      </c>
      <c r="T1" s="83" t="s">
        <v>30</v>
      </c>
      <c r="U1" s="2"/>
      <c r="V1" s="2"/>
    </row>
    <row r="2" spans="1:24" ht="15" customHeight="1" x14ac:dyDescent="0.2">
      <c r="A2" s="147"/>
      <c r="B2" s="146"/>
      <c r="C2" s="146"/>
      <c r="M2" s="55" t="s">
        <v>0</v>
      </c>
      <c r="N2" s="55" t="s">
        <v>79</v>
      </c>
      <c r="O2" s="55" t="s">
        <v>1</v>
      </c>
      <c r="T2" s="11"/>
      <c r="U2" s="79">
        <v>0</v>
      </c>
      <c r="V2" s="79">
        <v>1000</v>
      </c>
    </row>
    <row r="3" spans="1:24" ht="15" customHeight="1" x14ac:dyDescent="0.2">
      <c r="A3" s="96" t="s">
        <v>99</v>
      </c>
      <c r="B3" s="151"/>
      <c r="C3" s="152"/>
      <c r="M3" s="56"/>
      <c r="N3" s="57"/>
      <c r="O3" s="58" t="b">
        <f t="shared" ref="O3:O66" si="0">IF($N3&gt;0,LN($N3+$B$26))</f>
        <v>0</v>
      </c>
      <c r="T3" s="69" t="s">
        <v>108</v>
      </c>
      <c r="U3" s="82" t="e">
        <f>$B$21</f>
        <v>#DIV/0!</v>
      </c>
      <c r="V3" s="82" t="e">
        <f t="shared" ref="V3:V10" si="1">U3</f>
        <v>#DIV/0!</v>
      </c>
    </row>
    <row r="4" spans="1:24" ht="15" customHeight="1" x14ac:dyDescent="0.2">
      <c r="A4" s="97" t="s">
        <v>33</v>
      </c>
      <c r="B4" s="149"/>
      <c r="C4" s="150"/>
      <c r="M4" s="56"/>
      <c r="N4" s="57"/>
      <c r="O4" s="58" t="b">
        <f t="shared" si="0"/>
        <v>0</v>
      </c>
      <c r="T4" s="69" t="s">
        <v>110</v>
      </c>
      <c r="U4" s="82" t="e">
        <f>$B$31</f>
        <v>#DIV/0!</v>
      </c>
      <c r="V4" s="82" t="e">
        <f t="shared" si="1"/>
        <v>#DIV/0!</v>
      </c>
    </row>
    <row r="5" spans="1:24" ht="15" customHeight="1" x14ac:dyDescent="0.2">
      <c r="A5" s="98" t="s">
        <v>70</v>
      </c>
      <c r="B5" s="94" t="s">
        <v>93</v>
      </c>
      <c r="C5" s="18"/>
      <c r="D5" s="4"/>
      <c r="M5" s="56"/>
      <c r="N5" s="57"/>
      <c r="O5" s="58" t="b">
        <f t="shared" si="0"/>
        <v>0</v>
      </c>
      <c r="T5" s="69" t="s">
        <v>109</v>
      </c>
      <c r="U5" s="82" t="e">
        <f>$B$22</f>
        <v>#DIV/0!</v>
      </c>
      <c r="V5" s="82" t="e">
        <f t="shared" si="1"/>
        <v>#DIV/0!</v>
      </c>
    </row>
    <row r="6" spans="1:24" ht="15" customHeight="1" x14ac:dyDescent="0.2">
      <c r="A6" s="99" t="s">
        <v>18</v>
      </c>
      <c r="B6" s="94" t="s">
        <v>93</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1">
        <v>0</v>
      </c>
      <c r="C26" s="62"/>
      <c r="E26" s="7"/>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c r="F27" s="7"/>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IF(((MAX($O$3:$O$252)-MIN($O$3:$O$252))/$R$27)&gt;INDEX(XX!$B$4:$B$150,$B$9-3),"ja","nein")</f>
        <v>#DIV/0!</v>
      </c>
      <c r="C30" s="62"/>
      <c r="E30" s="7"/>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c r="K56" s="69"/>
      <c r="M56" s="56"/>
      <c r="N56" s="57"/>
      <c r="O56" s="58" t="b">
        <f t="shared" si="0"/>
        <v>0</v>
      </c>
      <c r="T56" s="85">
        <f>$U$19-$B$38/100</f>
        <v>0</v>
      </c>
      <c r="U56" s="28" t="e">
        <f>$X$19</f>
        <v>#DIV/0!</v>
      </c>
    </row>
    <row r="57" spans="5:21" ht="15" x14ac:dyDescent="0.2">
      <c r="E57" s="70">
        <v>36161</v>
      </c>
      <c r="F57" s="74" t="e">
        <f>$B$21</f>
        <v>#DIV/0!</v>
      </c>
      <c r="G57" s="74" t="e">
        <f>$C$21</f>
        <v>#DIV/0!</v>
      </c>
      <c r="H57" s="74" t="e">
        <f>$B$22</f>
        <v>#DIV/0!</v>
      </c>
      <c r="I57" s="74" t="e">
        <f>$C$22</f>
        <v>#DIV/0!</v>
      </c>
      <c r="J57" s="74"/>
      <c r="K57" s="74"/>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c r="K58" s="74"/>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94"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ref="I95:I113" si="12">H95-$B$26</f>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12"/>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12"/>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12"/>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12"/>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12"/>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12"/>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12"/>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12"/>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12"/>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12"/>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12"/>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12"/>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12"/>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12"/>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12"/>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12"/>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12"/>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12"/>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6" t="s">
        <v>37</v>
      </c>
      <c r="G118" s="87" t="e">
        <f>CORREL($N$3:$N$252,$M$3:$M$252)</f>
        <v>#DIV/0!</v>
      </c>
      <c r="H118" s="88"/>
      <c r="I118" s="88"/>
      <c r="J118" s="88"/>
      <c r="M118" s="56"/>
      <c r="N118" s="57"/>
      <c r="O118" s="58" t="b">
        <f t="shared" si="11"/>
        <v>0</v>
      </c>
    </row>
    <row r="119" spans="5:15" ht="15" x14ac:dyDescent="0.2">
      <c r="F119" s="66" t="s">
        <v>38</v>
      </c>
      <c r="G119" s="76" t="e">
        <f>INTERCEPT($N$3:$N$252,$M$3:$M$252)</f>
        <v>#DIV/0!</v>
      </c>
      <c r="H119" s="88"/>
      <c r="I119" s="88"/>
      <c r="J119" s="88"/>
      <c r="M119" s="56"/>
      <c r="N119" s="57"/>
      <c r="O119" s="58" t="b">
        <f t="shared" si="11"/>
        <v>0</v>
      </c>
    </row>
    <row r="120" spans="5:15" ht="15" x14ac:dyDescent="0.2">
      <c r="F120" s="66" t="s">
        <v>39</v>
      </c>
      <c r="G120" s="76" t="e">
        <f>SLOPE($N$3:$N$252,$M$3:$M$252)</f>
        <v>#DIV/0!</v>
      </c>
      <c r="H120" s="66" t="s">
        <v>50</v>
      </c>
      <c r="I120" s="76" t="b">
        <f>IF($B$9&gt;3,INDEX(XX!$C$4:$C$150,$B$9))</f>
        <v>0</v>
      </c>
      <c r="J120" s="76" t="b">
        <f>IF($B$9&gt;3,INDEX(XX!$D$4:$D$150,$B$9))</f>
        <v>0</v>
      </c>
      <c r="M120" s="56"/>
      <c r="N120" s="57"/>
      <c r="O120" s="58" t="b">
        <f t="shared" si="11"/>
        <v>0</v>
      </c>
    </row>
    <row r="121" spans="5:15" ht="15" x14ac:dyDescent="0.2">
      <c r="F121" s="88"/>
      <c r="G121" s="88"/>
      <c r="H121" s="66" t="s">
        <v>51</v>
      </c>
      <c r="I121" s="66" t="s">
        <v>52</v>
      </c>
      <c r="J121" s="66" t="s">
        <v>53</v>
      </c>
      <c r="M121" s="56"/>
      <c r="N121" s="57"/>
      <c r="O121" s="58" t="b">
        <f t="shared" si="11"/>
        <v>0</v>
      </c>
    </row>
    <row r="122" spans="5:15" ht="15" x14ac:dyDescent="0.2">
      <c r="F122" s="66" t="s">
        <v>40</v>
      </c>
      <c r="G122" s="89">
        <f>MIN($N$3:$N$252)</f>
        <v>0</v>
      </c>
      <c r="H122" s="88"/>
      <c r="I122" s="76" t="e">
        <f>IF((ABS($G$118)&gt;$I$120)*AND(ABS($G$118)&lt;$J$120),G$119+G$120*G122,0)</f>
        <v>#DIV/0!</v>
      </c>
      <c r="J122" s="76" t="e">
        <f>IF((ABS($G$118)&gt;$J$120),G$119+G$120*G122,0)</f>
        <v>#DIV/0!</v>
      </c>
      <c r="M122" s="56"/>
      <c r="N122" s="57"/>
      <c r="O122" s="58" t="b">
        <f t="shared" si="11"/>
        <v>0</v>
      </c>
    </row>
    <row r="123" spans="5:15" ht="15" x14ac:dyDescent="0.2">
      <c r="F123" s="66" t="s">
        <v>41</v>
      </c>
      <c r="G123" s="89">
        <f>MAX($M$3:$M$252)</f>
        <v>0</v>
      </c>
      <c r="H123" s="88"/>
      <c r="I123" s="76" t="e">
        <f>IF((ABS($G$118)&gt;$I$120)*AND(ABS($G$118)&lt;$J$120),G$119+G$120*G123,0)</f>
        <v>#DIV/0!</v>
      </c>
      <c r="J123" s="76"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3">IF($N131&gt;0,LN($N131+$B$26))</f>
        <v>0</v>
      </c>
    </row>
    <row r="132" spans="13:15" ht="15" x14ac:dyDescent="0.2">
      <c r="M132" s="56"/>
      <c r="N132" s="57"/>
      <c r="O132" s="58" t="b">
        <f t="shared" si="13"/>
        <v>0</v>
      </c>
    </row>
    <row r="133" spans="13:15" ht="15" x14ac:dyDescent="0.2">
      <c r="M133" s="56"/>
      <c r="N133" s="57"/>
      <c r="O133" s="58" t="b">
        <f t="shared" si="13"/>
        <v>0</v>
      </c>
    </row>
    <row r="134" spans="13:15" ht="15" x14ac:dyDescent="0.2">
      <c r="M134" s="56"/>
      <c r="N134" s="57"/>
      <c r="O134" s="58" t="b">
        <f t="shared" si="13"/>
        <v>0</v>
      </c>
    </row>
    <row r="135" spans="13:15" ht="15" x14ac:dyDescent="0.2">
      <c r="M135" s="56"/>
      <c r="N135" s="57"/>
      <c r="O135" s="58" t="b">
        <f t="shared" si="13"/>
        <v>0</v>
      </c>
    </row>
    <row r="136" spans="13:15" ht="15" x14ac:dyDescent="0.2">
      <c r="M136" s="56"/>
      <c r="N136" s="57"/>
      <c r="O136" s="58" t="b">
        <f t="shared" si="13"/>
        <v>0</v>
      </c>
    </row>
    <row r="137" spans="13:15" ht="15" x14ac:dyDescent="0.2">
      <c r="M137" s="56"/>
      <c r="N137" s="57"/>
      <c r="O137" s="58" t="b">
        <f t="shared" si="13"/>
        <v>0</v>
      </c>
    </row>
    <row r="138" spans="13:15" ht="15" x14ac:dyDescent="0.2">
      <c r="M138" s="56"/>
      <c r="N138" s="57"/>
      <c r="O138" s="58" t="b">
        <f t="shared" si="13"/>
        <v>0</v>
      </c>
    </row>
    <row r="139" spans="13:15" ht="15" x14ac:dyDescent="0.2">
      <c r="M139" s="56"/>
      <c r="N139" s="57"/>
      <c r="O139" s="58" t="b">
        <f t="shared" si="13"/>
        <v>0</v>
      </c>
    </row>
    <row r="140" spans="13:15" ht="15" x14ac:dyDescent="0.2">
      <c r="M140" s="56"/>
      <c r="N140" s="57"/>
      <c r="O140" s="58" t="b">
        <f t="shared" si="13"/>
        <v>0</v>
      </c>
    </row>
    <row r="141" spans="13:15" ht="15" x14ac:dyDescent="0.2">
      <c r="M141" s="56"/>
      <c r="N141" s="57"/>
      <c r="O141" s="58" t="b">
        <f t="shared" si="13"/>
        <v>0</v>
      </c>
    </row>
    <row r="142" spans="13:15" ht="15" x14ac:dyDescent="0.2">
      <c r="M142" s="56"/>
      <c r="N142" s="57"/>
      <c r="O142" s="58" t="b">
        <f t="shared" si="13"/>
        <v>0</v>
      </c>
    </row>
    <row r="143" spans="13:15" ht="15" x14ac:dyDescent="0.2">
      <c r="M143" s="56"/>
      <c r="N143" s="57"/>
      <c r="O143" s="58" t="b">
        <f t="shared" si="13"/>
        <v>0</v>
      </c>
    </row>
    <row r="144" spans="13:15" ht="15" x14ac:dyDescent="0.2">
      <c r="M144" s="56"/>
      <c r="N144" s="57"/>
      <c r="O144" s="58" t="b">
        <f t="shared" si="13"/>
        <v>0</v>
      </c>
    </row>
    <row r="145" spans="13:15" ht="15" x14ac:dyDescent="0.2">
      <c r="M145" s="56"/>
      <c r="N145" s="57"/>
      <c r="O145" s="58" t="b">
        <f t="shared" si="13"/>
        <v>0</v>
      </c>
    </row>
    <row r="146" spans="13:15" ht="15" x14ac:dyDescent="0.2">
      <c r="M146" s="56"/>
      <c r="N146" s="57"/>
      <c r="O146" s="58" t="b">
        <f t="shared" si="13"/>
        <v>0</v>
      </c>
    </row>
    <row r="147" spans="13:15" ht="15" x14ac:dyDescent="0.2">
      <c r="M147" s="56"/>
      <c r="N147" s="57"/>
      <c r="O147" s="58" t="b">
        <f t="shared" si="13"/>
        <v>0</v>
      </c>
    </row>
    <row r="148" spans="13:15" ht="15" x14ac:dyDescent="0.2">
      <c r="M148" s="56"/>
      <c r="N148" s="57"/>
      <c r="O148" s="58" t="b">
        <f t="shared" si="13"/>
        <v>0</v>
      </c>
    </row>
    <row r="149" spans="13:15" ht="15" x14ac:dyDescent="0.2">
      <c r="M149" s="56"/>
      <c r="N149" s="57"/>
      <c r="O149" s="58" t="b">
        <f t="shared" si="13"/>
        <v>0</v>
      </c>
    </row>
    <row r="150" spans="13:15" ht="15" x14ac:dyDescent="0.2">
      <c r="M150" s="56"/>
      <c r="N150" s="57"/>
      <c r="O150" s="58" t="b">
        <f t="shared" si="13"/>
        <v>0</v>
      </c>
    </row>
    <row r="151" spans="13:15" ht="15" x14ac:dyDescent="0.2">
      <c r="M151" s="56"/>
      <c r="N151" s="57"/>
      <c r="O151" s="58" t="b">
        <f t="shared" si="13"/>
        <v>0</v>
      </c>
    </row>
    <row r="152" spans="13:15" ht="15" x14ac:dyDescent="0.2">
      <c r="M152" s="56"/>
      <c r="N152" s="57"/>
      <c r="O152" s="58" t="b">
        <f t="shared" si="13"/>
        <v>0</v>
      </c>
    </row>
    <row r="153" spans="13:15" ht="15" x14ac:dyDescent="0.2">
      <c r="M153" s="56"/>
      <c r="N153" s="57"/>
      <c r="O153" s="58" t="b">
        <f t="shared" si="13"/>
        <v>0</v>
      </c>
    </row>
    <row r="154" spans="13:15" ht="15" x14ac:dyDescent="0.2">
      <c r="M154" s="56"/>
      <c r="N154" s="57"/>
      <c r="O154" s="58" t="b">
        <f t="shared" si="13"/>
        <v>0</v>
      </c>
    </row>
    <row r="155" spans="13:15" ht="15" x14ac:dyDescent="0.2">
      <c r="M155" s="56"/>
      <c r="N155" s="57"/>
      <c r="O155" s="58" t="b">
        <f t="shared" si="13"/>
        <v>0</v>
      </c>
    </row>
    <row r="156" spans="13:15" ht="15" x14ac:dyDescent="0.2">
      <c r="M156" s="56"/>
      <c r="N156" s="57"/>
      <c r="O156" s="58" t="b">
        <f t="shared" si="13"/>
        <v>0</v>
      </c>
    </row>
    <row r="157" spans="13:15" ht="15" x14ac:dyDescent="0.2">
      <c r="M157" s="56"/>
      <c r="N157" s="57"/>
      <c r="O157" s="58" t="b">
        <f t="shared" si="13"/>
        <v>0</v>
      </c>
    </row>
    <row r="158" spans="13:15" ht="15" x14ac:dyDescent="0.2">
      <c r="M158" s="56"/>
      <c r="N158" s="57"/>
      <c r="O158" s="58" t="b">
        <f t="shared" si="13"/>
        <v>0</v>
      </c>
    </row>
    <row r="159" spans="13:15" ht="15" x14ac:dyDescent="0.2">
      <c r="M159" s="56"/>
      <c r="N159" s="57"/>
      <c r="O159" s="58" t="b">
        <f t="shared" si="13"/>
        <v>0</v>
      </c>
    </row>
    <row r="160" spans="13:15" ht="15" x14ac:dyDescent="0.2">
      <c r="M160" s="56"/>
      <c r="N160" s="57"/>
      <c r="O160" s="58" t="b">
        <f t="shared" si="13"/>
        <v>0</v>
      </c>
    </row>
    <row r="161" spans="13:15" ht="15" x14ac:dyDescent="0.2">
      <c r="M161" s="56"/>
      <c r="N161" s="57"/>
      <c r="O161" s="58" t="b">
        <f t="shared" si="13"/>
        <v>0</v>
      </c>
    </row>
    <row r="162" spans="13:15" ht="15" x14ac:dyDescent="0.2">
      <c r="M162" s="56"/>
      <c r="N162" s="57"/>
      <c r="O162" s="58" t="b">
        <f t="shared" si="13"/>
        <v>0</v>
      </c>
    </row>
    <row r="163" spans="13:15" ht="15" x14ac:dyDescent="0.2">
      <c r="M163" s="56"/>
      <c r="N163" s="57"/>
      <c r="O163" s="58" t="b">
        <f t="shared" si="13"/>
        <v>0</v>
      </c>
    </row>
    <row r="164" spans="13:15" ht="15" x14ac:dyDescent="0.2">
      <c r="M164" s="56"/>
      <c r="N164" s="57"/>
      <c r="O164" s="58" t="b">
        <f t="shared" si="13"/>
        <v>0</v>
      </c>
    </row>
    <row r="165" spans="13:15" ht="15" x14ac:dyDescent="0.2">
      <c r="M165" s="56"/>
      <c r="N165" s="57"/>
      <c r="O165" s="58" t="b">
        <f t="shared" si="13"/>
        <v>0</v>
      </c>
    </row>
    <row r="166" spans="13:15" ht="15" x14ac:dyDescent="0.2">
      <c r="M166" s="56"/>
      <c r="N166" s="57"/>
      <c r="O166" s="58" t="b">
        <f t="shared" si="13"/>
        <v>0</v>
      </c>
    </row>
    <row r="167" spans="13:15" ht="15" x14ac:dyDescent="0.2">
      <c r="M167" s="56"/>
      <c r="N167" s="57"/>
      <c r="O167" s="58" t="b">
        <f t="shared" si="13"/>
        <v>0</v>
      </c>
    </row>
    <row r="168" spans="13:15" ht="15" x14ac:dyDescent="0.2">
      <c r="M168" s="56"/>
      <c r="N168" s="57"/>
      <c r="O168" s="58" t="b">
        <f t="shared" si="13"/>
        <v>0</v>
      </c>
    </row>
    <row r="169" spans="13:15" ht="15" x14ac:dyDescent="0.2">
      <c r="M169" s="56"/>
      <c r="N169" s="57"/>
      <c r="O169" s="58" t="b">
        <f t="shared" si="13"/>
        <v>0</v>
      </c>
    </row>
    <row r="170" spans="13:15" ht="15" x14ac:dyDescent="0.2">
      <c r="M170" s="56"/>
      <c r="N170" s="57"/>
      <c r="O170" s="58" t="b">
        <f t="shared" si="13"/>
        <v>0</v>
      </c>
    </row>
    <row r="171" spans="13:15" ht="15" x14ac:dyDescent="0.2">
      <c r="M171" s="56"/>
      <c r="N171" s="57"/>
      <c r="O171" s="58" t="b">
        <f t="shared" si="13"/>
        <v>0</v>
      </c>
    </row>
    <row r="172" spans="13:15" ht="15" x14ac:dyDescent="0.2">
      <c r="M172" s="56"/>
      <c r="N172" s="57"/>
      <c r="O172" s="58" t="b">
        <f t="shared" si="13"/>
        <v>0</v>
      </c>
    </row>
    <row r="173" spans="13:15" ht="15" x14ac:dyDescent="0.2">
      <c r="M173" s="56"/>
      <c r="N173" s="57"/>
      <c r="O173" s="58" t="b">
        <f t="shared" si="13"/>
        <v>0</v>
      </c>
    </row>
    <row r="174" spans="13:15" ht="15" x14ac:dyDescent="0.2">
      <c r="M174" s="56"/>
      <c r="N174" s="57"/>
      <c r="O174" s="58" t="b">
        <f t="shared" si="13"/>
        <v>0</v>
      </c>
    </row>
    <row r="175" spans="13:15" ht="15" x14ac:dyDescent="0.2">
      <c r="M175" s="56"/>
      <c r="N175" s="57"/>
      <c r="O175" s="58" t="b">
        <f t="shared" si="13"/>
        <v>0</v>
      </c>
    </row>
    <row r="176" spans="13:15" ht="15" x14ac:dyDescent="0.2">
      <c r="M176" s="56"/>
      <c r="N176" s="57"/>
      <c r="O176" s="58" t="b">
        <f t="shared" si="13"/>
        <v>0</v>
      </c>
    </row>
    <row r="177" spans="13:15" ht="15" x14ac:dyDescent="0.2">
      <c r="M177" s="56"/>
      <c r="N177" s="57"/>
      <c r="O177" s="58" t="b">
        <f t="shared" si="13"/>
        <v>0</v>
      </c>
    </row>
    <row r="178" spans="13:15" ht="15" x14ac:dyDescent="0.2">
      <c r="M178" s="56"/>
      <c r="N178" s="57"/>
      <c r="O178" s="58" t="b">
        <f t="shared" si="13"/>
        <v>0</v>
      </c>
    </row>
    <row r="179" spans="13:15" ht="15" x14ac:dyDescent="0.2">
      <c r="M179" s="56"/>
      <c r="N179" s="57"/>
      <c r="O179" s="58" t="b">
        <f t="shared" si="13"/>
        <v>0</v>
      </c>
    </row>
    <row r="180" spans="13:15" ht="15" x14ac:dyDescent="0.2">
      <c r="M180" s="56"/>
      <c r="N180" s="57"/>
      <c r="O180" s="58" t="b">
        <f t="shared" si="13"/>
        <v>0</v>
      </c>
    </row>
    <row r="181" spans="13:15" ht="15" x14ac:dyDescent="0.2">
      <c r="M181" s="56"/>
      <c r="N181" s="57"/>
      <c r="O181" s="58" t="b">
        <f t="shared" si="13"/>
        <v>0</v>
      </c>
    </row>
    <row r="182" spans="13:15" ht="15" x14ac:dyDescent="0.2">
      <c r="M182" s="56"/>
      <c r="N182" s="57"/>
      <c r="O182" s="58" t="b">
        <f t="shared" si="13"/>
        <v>0</v>
      </c>
    </row>
    <row r="183" spans="13:15" ht="15" x14ac:dyDescent="0.2">
      <c r="M183" s="56"/>
      <c r="N183" s="57"/>
      <c r="O183" s="58" t="b">
        <f t="shared" si="13"/>
        <v>0</v>
      </c>
    </row>
    <row r="184" spans="13:15" ht="15" x14ac:dyDescent="0.2">
      <c r="M184" s="56"/>
      <c r="N184" s="57"/>
      <c r="O184" s="58" t="b">
        <f t="shared" si="13"/>
        <v>0</v>
      </c>
    </row>
    <row r="185" spans="13:15" ht="15" x14ac:dyDescent="0.2">
      <c r="M185" s="56"/>
      <c r="N185" s="57"/>
      <c r="O185" s="58" t="b">
        <f t="shared" si="13"/>
        <v>0</v>
      </c>
    </row>
    <row r="186" spans="13:15" ht="15" x14ac:dyDescent="0.2">
      <c r="M186" s="56"/>
      <c r="N186" s="57"/>
      <c r="O186" s="58" t="b">
        <f t="shared" si="13"/>
        <v>0</v>
      </c>
    </row>
    <row r="187" spans="13:15" ht="15" x14ac:dyDescent="0.2">
      <c r="M187" s="56"/>
      <c r="N187" s="57"/>
      <c r="O187" s="58" t="b">
        <f t="shared" si="13"/>
        <v>0</v>
      </c>
    </row>
    <row r="188" spans="13:15" ht="15" x14ac:dyDescent="0.2">
      <c r="M188" s="56"/>
      <c r="N188" s="57"/>
      <c r="O188" s="58" t="b">
        <f t="shared" si="13"/>
        <v>0</v>
      </c>
    </row>
    <row r="189" spans="13:15" ht="15" x14ac:dyDescent="0.2">
      <c r="M189" s="56"/>
      <c r="N189" s="57"/>
      <c r="O189" s="58" t="b">
        <f t="shared" si="13"/>
        <v>0</v>
      </c>
    </row>
    <row r="190" spans="13:15" ht="15" x14ac:dyDescent="0.2">
      <c r="M190" s="56"/>
      <c r="N190" s="57"/>
      <c r="O190" s="58" t="b">
        <f t="shared" si="13"/>
        <v>0</v>
      </c>
    </row>
    <row r="191" spans="13:15" ht="15" x14ac:dyDescent="0.2">
      <c r="M191" s="56"/>
      <c r="N191" s="57"/>
      <c r="O191" s="58" t="b">
        <f t="shared" si="13"/>
        <v>0</v>
      </c>
    </row>
    <row r="192" spans="13:15" ht="15" x14ac:dyDescent="0.2">
      <c r="M192" s="56"/>
      <c r="N192" s="57"/>
      <c r="O192" s="58" t="b">
        <f t="shared" si="13"/>
        <v>0</v>
      </c>
    </row>
    <row r="193" spans="13:15" ht="15" x14ac:dyDescent="0.2">
      <c r="M193" s="56"/>
      <c r="N193" s="57"/>
      <c r="O193" s="58" t="b">
        <f t="shared" si="13"/>
        <v>0</v>
      </c>
    </row>
    <row r="194" spans="13:15" ht="15" x14ac:dyDescent="0.2">
      <c r="M194" s="56"/>
      <c r="N194" s="57"/>
      <c r="O194" s="58" t="b">
        <f t="shared" si="13"/>
        <v>0</v>
      </c>
    </row>
    <row r="195" spans="13:15" ht="15" x14ac:dyDescent="0.2">
      <c r="M195" s="56"/>
      <c r="N195" s="57"/>
      <c r="O195" s="58" t="b">
        <f t="shared" ref="O195:O252" si="14">IF($N195&gt;0,LN($N195+$B$26))</f>
        <v>0</v>
      </c>
    </row>
    <row r="196" spans="13:15" ht="15" x14ac:dyDescent="0.2">
      <c r="M196" s="56"/>
      <c r="N196" s="57"/>
      <c r="O196" s="58" t="b">
        <f t="shared" si="14"/>
        <v>0</v>
      </c>
    </row>
    <row r="197" spans="13:15" ht="15" x14ac:dyDescent="0.2">
      <c r="M197" s="56"/>
      <c r="N197" s="57"/>
      <c r="O197" s="58" t="b">
        <f t="shared" si="14"/>
        <v>0</v>
      </c>
    </row>
    <row r="198" spans="13:15" ht="15" x14ac:dyDescent="0.2">
      <c r="M198" s="56"/>
      <c r="N198" s="57"/>
      <c r="O198" s="58" t="b">
        <f t="shared" si="14"/>
        <v>0</v>
      </c>
    </row>
    <row r="199" spans="13:15" ht="15" x14ac:dyDescent="0.2">
      <c r="M199" s="56"/>
      <c r="N199" s="57"/>
      <c r="O199" s="58" t="b">
        <f t="shared" si="14"/>
        <v>0</v>
      </c>
    </row>
    <row r="200" spans="13:15" ht="15" x14ac:dyDescent="0.2">
      <c r="M200" s="56"/>
      <c r="N200" s="57"/>
      <c r="O200" s="58" t="b">
        <f t="shared" si="14"/>
        <v>0</v>
      </c>
    </row>
    <row r="201" spans="13:15" ht="15" x14ac:dyDescent="0.2">
      <c r="M201" s="56"/>
      <c r="N201" s="57"/>
      <c r="O201" s="58" t="b">
        <f t="shared" si="14"/>
        <v>0</v>
      </c>
    </row>
    <row r="202" spans="13:15" ht="15" x14ac:dyDescent="0.2">
      <c r="M202" s="56"/>
      <c r="N202" s="57"/>
      <c r="O202" s="58" t="b">
        <f t="shared" si="14"/>
        <v>0</v>
      </c>
    </row>
    <row r="203" spans="13:15" ht="15" x14ac:dyDescent="0.2">
      <c r="M203" s="56"/>
      <c r="N203" s="57"/>
      <c r="O203" s="58" t="b">
        <f t="shared" si="14"/>
        <v>0</v>
      </c>
    </row>
    <row r="204" spans="13:15" ht="15" x14ac:dyDescent="0.2">
      <c r="M204" s="56"/>
      <c r="N204" s="57"/>
      <c r="O204" s="58" t="b">
        <f t="shared" si="14"/>
        <v>0</v>
      </c>
    </row>
    <row r="205" spans="13:15" ht="15" x14ac:dyDescent="0.2">
      <c r="M205" s="56"/>
      <c r="N205" s="57"/>
      <c r="O205" s="58" t="b">
        <f t="shared" si="14"/>
        <v>0</v>
      </c>
    </row>
    <row r="206" spans="13:15" ht="15" x14ac:dyDescent="0.2">
      <c r="M206" s="56"/>
      <c r="N206" s="57"/>
      <c r="O206" s="58" t="b">
        <f t="shared" si="14"/>
        <v>0</v>
      </c>
    </row>
    <row r="207" spans="13:15" ht="15" x14ac:dyDescent="0.2">
      <c r="M207" s="56"/>
      <c r="N207" s="57"/>
      <c r="O207" s="58" t="b">
        <f t="shared" si="14"/>
        <v>0</v>
      </c>
    </row>
    <row r="208" spans="13:15" ht="15" x14ac:dyDescent="0.2">
      <c r="M208" s="56"/>
      <c r="N208" s="57"/>
      <c r="O208" s="58" t="b">
        <f t="shared" si="14"/>
        <v>0</v>
      </c>
    </row>
    <row r="209" spans="13:15" ht="15" x14ac:dyDescent="0.2">
      <c r="M209" s="56"/>
      <c r="N209" s="57"/>
      <c r="O209" s="58" t="b">
        <f t="shared" si="14"/>
        <v>0</v>
      </c>
    </row>
    <row r="210" spans="13:15" ht="15" x14ac:dyDescent="0.2">
      <c r="M210" s="56"/>
      <c r="N210" s="57"/>
      <c r="O210" s="58" t="b">
        <f t="shared" si="14"/>
        <v>0</v>
      </c>
    </row>
    <row r="211" spans="13:15" ht="15" x14ac:dyDescent="0.2">
      <c r="M211" s="56"/>
      <c r="N211" s="57"/>
      <c r="O211" s="58" t="b">
        <f t="shared" si="14"/>
        <v>0</v>
      </c>
    </row>
    <row r="212" spans="13:15" ht="15" x14ac:dyDescent="0.2">
      <c r="M212" s="56"/>
      <c r="N212" s="57"/>
      <c r="O212" s="58" t="b">
        <f t="shared" si="14"/>
        <v>0</v>
      </c>
    </row>
    <row r="213" spans="13:15" ht="15" x14ac:dyDescent="0.2">
      <c r="M213" s="56"/>
      <c r="N213" s="57"/>
      <c r="O213" s="58" t="b">
        <f t="shared" si="14"/>
        <v>0</v>
      </c>
    </row>
    <row r="214" spans="13:15" ht="15" x14ac:dyDescent="0.2">
      <c r="M214" s="56"/>
      <c r="N214" s="57"/>
      <c r="O214" s="58" t="b">
        <f t="shared" si="14"/>
        <v>0</v>
      </c>
    </row>
    <row r="215" spans="13:15" ht="15" x14ac:dyDescent="0.2">
      <c r="M215" s="56"/>
      <c r="N215" s="57"/>
      <c r="O215" s="58" t="b">
        <f t="shared" si="14"/>
        <v>0</v>
      </c>
    </row>
    <row r="216" spans="13:15" ht="15" x14ac:dyDescent="0.2">
      <c r="M216" s="56"/>
      <c r="N216" s="57"/>
      <c r="O216" s="58" t="b">
        <f t="shared" si="14"/>
        <v>0</v>
      </c>
    </row>
    <row r="217" spans="13:15" ht="15" x14ac:dyDescent="0.2">
      <c r="M217" s="56"/>
      <c r="N217" s="57"/>
      <c r="O217" s="58" t="b">
        <f t="shared" si="14"/>
        <v>0</v>
      </c>
    </row>
    <row r="218" spans="13:15" ht="15" x14ac:dyDescent="0.2">
      <c r="M218" s="56"/>
      <c r="N218" s="57"/>
      <c r="O218" s="58" t="b">
        <f t="shared" si="14"/>
        <v>0</v>
      </c>
    </row>
    <row r="219" spans="13:15" ht="15" x14ac:dyDescent="0.2">
      <c r="M219" s="56"/>
      <c r="N219" s="57"/>
      <c r="O219" s="58" t="b">
        <f t="shared" si="14"/>
        <v>0</v>
      </c>
    </row>
    <row r="220" spans="13:15" ht="15" x14ac:dyDescent="0.2">
      <c r="M220" s="56"/>
      <c r="N220" s="57"/>
      <c r="O220" s="58" t="b">
        <f t="shared" si="14"/>
        <v>0</v>
      </c>
    </row>
    <row r="221" spans="13:15" ht="15" x14ac:dyDescent="0.2">
      <c r="M221" s="56"/>
      <c r="N221" s="57"/>
      <c r="O221" s="58" t="b">
        <f t="shared" si="14"/>
        <v>0</v>
      </c>
    </row>
    <row r="222" spans="13:15" ht="15" x14ac:dyDescent="0.2">
      <c r="M222" s="56"/>
      <c r="N222" s="57"/>
      <c r="O222" s="58" t="b">
        <f t="shared" si="14"/>
        <v>0</v>
      </c>
    </row>
    <row r="223" spans="13:15" ht="15" x14ac:dyDescent="0.2">
      <c r="M223" s="56"/>
      <c r="N223" s="57"/>
      <c r="O223" s="58" t="b">
        <f t="shared" si="14"/>
        <v>0</v>
      </c>
    </row>
    <row r="224" spans="13:15" ht="15" x14ac:dyDescent="0.2">
      <c r="M224" s="56"/>
      <c r="N224" s="57"/>
      <c r="O224" s="58" t="b">
        <f t="shared" si="14"/>
        <v>0</v>
      </c>
    </row>
    <row r="225" spans="13:15" ht="15" x14ac:dyDescent="0.2">
      <c r="M225" s="56"/>
      <c r="N225" s="57"/>
      <c r="O225" s="58" t="b">
        <f t="shared" si="14"/>
        <v>0</v>
      </c>
    </row>
    <row r="226" spans="13:15" ht="15" x14ac:dyDescent="0.2">
      <c r="M226" s="56"/>
      <c r="N226" s="57"/>
      <c r="O226" s="58" t="b">
        <f t="shared" si="14"/>
        <v>0</v>
      </c>
    </row>
    <row r="227" spans="13:15" ht="15" x14ac:dyDescent="0.2">
      <c r="M227" s="56"/>
      <c r="N227" s="57"/>
      <c r="O227" s="58" t="b">
        <f t="shared" si="14"/>
        <v>0</v>
      </c>
    </row>
    <row r="228" spans="13:15" ht="15" x14ac:dyDescent="0.2">
      <c r="M228" s="56"/>
      <c r="N228" s="57"/>
      <c r="O228" s="58" t="b">
        <f t="shared" si="14"/>
        <v>0</v>
      </c>
    </row>
    <row r="229" spans="13:15" ht="15" x14ac:dyDescent="0.2">
      <c r="M229" s="56"/>
      <c r="N229" s="57"/>
      <c r="O229" s="58" t="b">
        <f t="shared" si="14"/>
        <v>0</v>
      </c>
    </row>
    <row r="230" spans="13:15" ht="15" x14ac:dyDescent="0.2">
      <c r="M230" s="56"/>
      <c r="N230" s="57"/>
      <c r="O230" s="58" t="b">
        <f t="shared" si="14"/>
        <v>0</v>
      </c>
    </row>
    <row r="231" spans="13:15" ht="15" x14ac:dyDescent="0.2">
      <c r="M231" s="56"/>
      <c r="N231" s="57"/>
      <c r="O231" s="58" t="b">
        <f t="shared" si="14"/>
        <v>0</v>
      </c>
    </row>
    <row r="232" spans="13:15" ht="15" x14ac:dyDescent="0.2">
      <c r="M232" s="56"/>
      <c r="N232" s="57"/>
      <c r="O232" s="58" t="b">
        <f t="shared" si="14"/>
        <v>0</v>
      </c>
    </row>
    <row r="233" spans="13:15" ht="15" x14ac:dyDescent="0.2">
      <c r="M233" s="56"/>
      <c r="N233" s="57"/>
      <c r="O233" s="58" t="b">
        <f t="shared" si="14"/>
        <v>0</v>
      </c>
    </row>
    <row r="234" spans="13:15" ht="15" x14ac:dyDescent="0.2">
      <c r="M234" s="56"/>
      <c r="N234" s="57"/>
      <c r="O234" s="58" t="b">
        <f t="shared" si="14"/>
        <v>0</v>
      </c>
    </row>
    <row r="235" spans="13:15" ht="15" x14ac:dyDescent="0.2">
      <c r="M235" s="56"/>
      <c r="N235" s="57"/>
      <c r="O235" s="58" t="b">
        <f t="shared" si="14"/>
        <v>0</v>
      </c>
    </row>
    <row r="236" spans="13:15" ht="15" x14ac:dyDescent="0.2">
      <c r="M236" s="56"/>
      <c r="N236" s="57"/>
      <c r="O236" s="58" t="b">
        <f t="shared" si="14"/>
        <v>0</v>
      </c>
    </row>
    <row r="237" spans="13:15" ht="15" x14ac:dyDescent="0.2">
      <c r="M237" s="56"/>
      <c r="N237" s="57"/>
      <c r="O237" s="58" t="b">
        <f t="shared" si="14"/>
        <v>0</v>
      </c>
    </row>
    <row r="238" spans="13:15" ht="15" x14ac:dyDescent="0.2">
      <c r="M238" s="56"/>
      <c r="N238" s="57"/>
      <c r="O238" s="58" t="b">
        <f t="shared" si="14"/>
        <v>0</v>
      </c>
    </row>
    <row r="239" spans="13:15" ht="15" x14ac:dyDescent="0.2">
      <c r="M239" s="56"/>
      <c r="N239" s="57"/>
      <c r="O239" s="58" t="b">
        <f t="shared" si="14"/>
        <v>0</v>
      </c>
    </row>
    <row r="240" spans="13:15" ht="15" x14ac:dyDescent="0.2">
      <c r="M240" s="56"/>
      <c r="N240" s="57"/>
      <c r="O240" s="58" t="b">
        <f t="shared" si="14"/>
        <v>0</v>
      </c>
    </row>
    <row r="241" spans="13:15" ht="15" x14ac:dyDescent="0.2">
      <c r="M241" s="56"/>
      <c r="N241" s="57"/>
      <c r="O241" s="58" t="b">
        <f t="shared" si="14"/>
        <v>0</v>
      </c>
    </row>
    <row r="242" spans="13:15" ht="15" x14ac:dyDescent="0.2">
      <c r="M242" s="56"/>
      <c r="N242" s="57"/>
      <c r="O242" s="58" t="b">
        <f t="shared" si="14"/>
        <v>0</v>
      </c>
    </row>
    <row r="243" spans="13:15" ht="15" x14ac:dyDescent="0.2">
      <c r="M243" s="56"/>
      <c r="N243" s="57"/>
      <c r="O243" s="58" t="b">
        <f t="shared" si="14"/>
        <v>0</v>
      </c>
    </row>
    <row r="244" spans="13:15" ht="15" x14ac:dyDescent="0.2">
      <c r="M244" s="56"/>
      <c r="N244" s="57"/>
      <c r="O244" s="58" t="b">
        <f t="shared" si="14"/>
        <v>0</v>
      </c>
    </row>
    <row r="245" spans="13:15" ht="15" x14ac:dyDescent="0.2">
      <c r="M245" s="56"/>
      <c r="N245" s="57"/>
      <c r="O245" s="58" t="b">
        <f t="shared" si="14"/>
        <v>0</v>
      </c>
    </row>
    <row r="246" spans="13:15" ht="15" x14ac:dyDescent="0.2">
      <c r="M246" s="56"/>
      <c r="N246" s="57"/>
      <c r="O246" s="58" t="b">
        <f t="shared" si="14"/>
        <v>0</v>
      </c>
    </row>
    <row r="247" spans="13:15" ht="15" x14ac:dyDescent="0.2">
      <c r="M247" s="56"/>
      <c r="N247" s="57"/>
      <c r="O247" s="58" t="b">
        <f t="shared" si="14"/>
        <v>0</v>
      </c>
    </row>
    <row r="248" spans="13:15" ht="15" x14ac:dyDescent="0.2">
      <c r="M248" s="56"/>
      <c r="N248" s="57"/>
      <c r="O248" s="58" t="b">
        <f t="shared" si="14"/>
        <v>0</v>
      </c>
    </row>
    <row r="249" spans="13:15" ht="15" x14ac:dyDescent="0.2">
      <c r="M249" s="56"/>
      <c r="N249" s="57"/>
      <c r="O249" s="58" t="b">
        <f t="shared" si="14"/>
        <v>0</v>
      </c>
    </row>
    <row r="250" spans="13:15" ht="15" x14ac:dyDescent="0.2">
      <c r="M250" s="56"/>
      <c r="N250" s="57"/>
      <c r="O250" s="58" t="b">
        <f t="shared" si="14"/>
        <v>0</v>
      </c>
    </row>
    <row r="251" spans="13:15" ht="15" x14ac:dyDescent="0.2">
      <c r="M251" s="56"/>
      <c r="N251" s="57"/>
      <c r="O251" s="58" t="b">
        <f t="shared" si="14"/>
        <v>0</v>
      </c>
    </row>
    <row r="252" spans="13:15" ht="15" x14ac:dyDescent="0.2">
      <c r="M252" s="56"/>
      <c r="N252" s="57"/>
      <c r="O252" s="54" t="b">
        <f t="shared" si="14"/>
        <v>0</v>
      </c>
    </row>
  </sheetData>
  <sheetProtection sheet="1" objects="1" scenarios="1" selectLockedCells="1"/>
  <mergeCells count="9">
    <mergeCell ref="A15:C15"/>
    <mergeCell ref="A35:C35"/>
    <mergeCell ref="A1:C2"/>
    <mergeCell ref="E23:G23"/>
    <mergeCell ref="E1:G1"/>
    <mergeCell ref="B4:C4"/>
    <mergeCell ref="B3:C3"/>
    <mergeCell ref="A8:C8"/>
    <mergeCell ref="A25:C25"/>
  </mergeCells>
  <phoneticPr fontId="1" type="noConversion"/>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ignoredErrors>
    <ignoredError sqref="B36:B37" unlocked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5.2851562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117</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132" t="s">
        <v>121</v>
      </c>
      <c r="C5" s="18"/>
      <c r="D5" s="4"/>
      <c r="M5" s="56"/>
      <c r="N5" s="57"/>
      <c r="O5" s="58" t="b">
        <f t="shared" si="0"/>
        <v>0</v>
      </c>
      <c r="T5" s="69" t="s">
        <v>109</v>
      </c>
      <c r="U5" s="82" t="e">
        <f>$B$22</f>
        <v>#DIV/0!</v>
      </c>
      <c r="V5" s="82" t="e">
        <f t="shared" si="1"/>
        <v>#DIV/0!</v>
      </c>
    </row>
    <row r="6" spans="1:24" ht="15" customHeight="1" x14ac:dyDescent="0.2">
      <c r="A6" s="104" t="s">
        <v>18</v>
      </c>
      <c r="B6" s="20" t="s">
        <v>93</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36161</v>
      </c>
      <c r="F57" s="82" t="e">
        <f>$B$21</f>
        <v>#DIV/0!</v>
      </c>
      <c r="G57" s="82" t="e">
        <f>$C$21</f>
        <v>#DIV/0!</v>
      </c>
      <c r="H57" s="82" t="e">
        <f>$B$22</f>
        <v>#DIV/0!</v>
      </c>
      <c r="I57" s="82" t="e">
        <f>$C$22</f>
        <v>#DIV/0!</v>
      </c>
      <c r="J57" s="82" t="e">
        <f>$B$31</f>
        <v>#DIV/0!</v>
      </c>
      <c r="K57" s="82" t="e">
        <f>$B$32</f>
        <v>#DIV/0!</v>
      </c>
      <c r="M57" s="56"/>
      <c r="N57" s="57"/>
      <c r="O57" s="58" t="b">
        <f t="shared" si="0"/>
        <v>0</v>
      </c>
      <c r="T57" s="85">
        <f>$U$19+$B$38/100</f>
        <v>0</v>
      </c>
      <c r="U57" s="28" t="e">
        <f>$X$20</f>
        <v>#DIV/0!</v>
      </c>
    </row>
    <row r="58" spans="5:21" ht="15" x14ac:dyDescent="0.2">
      <c r="E58" s="70">
        <v>51501</v>
      </c>
      <c r="F58" s="82" t="e">
        <f>$B$21</f>
        <v>#DIV/0!</v>
      </c>
      <c r="G58" s="82" t="e">
        <f>$C$21</f>
        <v>#DIV/0!</v>
      </c>
      <c r="H58" s="82" t="e">
        <f>$B$22</f>
        <v>#DIV/0!</v>
      </c>
      <c r="I58" s="82" t="e">
        <f>$C$22</f>
        <v>#DIV/0!</v>
      </c>
      <c r="J58" s="82" t="e">
        <f>$B$31</f>
        <v>#DIV/0!</v>
      </c>
      <c r="K58" s="82"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8" t="b">
        <f t="shared" si="13"/>
        <v>0</v>
      </c>
    </row>
  </sheetData>
  <sheetProtection sheet="1" objects="1" scenarios="1" selectLockedCells="1"/>
  <mergeCells count="9">
    <mergeCell ref="A25:C25"/>
    <mergeCell ref="A35:C35"/>
    <mergeCell ref="A1:C2"/>
    <mergeCell ref="E23:G23"/>
    <mergeCell ref="E1:G1"/>
    <mergeCell ref="B4:C4"/>
    <mergeCell ref="B3:C3"/>
    <mergeCell ref="A8:C8"/>
    <mergeCell ref="A15:C15"/>
  </mergeCells>
  <phoneticPr fontId="1" type="noConversion"/>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ignoredErrors>
    <ignoredError sqref="B3:C4" unlockedFormula="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28515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5.2851562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118</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
      <c r="A6" s="106" t="s">
        <v>18</v>
      </c>
      <c r="B6" s="20" t="s">
        <v>93</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7"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8"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8"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8"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8"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9"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10"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62"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ignoredErrors>
    <ignoredError sqref="B3:C4"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119</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
      <c r="A6" s="106" t="s">
        <v>18</v>
      </c>
      <c r="B6" s="20" t="s">
        <v>93</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62"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ignoredErrors>
    <ignoredError sqref="B3:C4" unlocked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120</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
      <c r="A6" s="106" t="s">
        <v>18</v>
      </c>
      <c r="B6" s="20" t="s">
        <v>93</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62"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8" t="s">
        <v>124</v>
      </c>
      <c r="B1" s="159"/>
      <c r="C1" s="159"/>
      <c r="E1" s="148" t="s">
        <v>16</v>
      </c>
      <c r="F1" s="148"/>
      <c r="G1" s="148"/>
      <c r="T1" s="83" t="s">
        <v>30</v>
      </c>
      <c r="U1" s="2"/>
      <c r="V1" s="2"/>
    </row>
    <row r="2" spans="1:24" ht="15" customHeight="1" x14ac:dyDescent="0.2">
      <c r="A2" s="160"/>
      <c r="B2" s="159"/>
      <c r="C2" s="159"/>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
      <c r="A6" s="106" t="s">
        <v>18</v>
      </c>
      <c r="B6" s="94" t="s">
        <v>93</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62"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(2018)0</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126</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
      <c r="A6" s="106" t="s">
        <v>18</v>
      </c>
      <c r="B6" s="20">
        <v>13</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61" t="s">
        <v>12</v>
      </c>
      <c r="B8" s="161"/>
      <c r="C8" s="161"/>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39"/>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122</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62">
        <f>pH!$B$3</f>
        <v>0</v>
      </c>
      <c r="C3" s="162"/>
      <c r="M3" s="56"/>
      <c r="N3" s="57"/>
      <c r="O3" s="58" t="b">
        <f t="shared" ref="O3:O66" si="0">IF($N3&gt;0,LN($N3+$B$26))</f>
        <v>0</v>
      </c>
      <c r="T3" s="69" t="s">
        <v>108</v>
      </c>
      <c r="U3" s="82" t="e">
        <f>$B$21</f>
        <v>#DIV/0!</v>
      </c>
      <c r="V3" s="82" t="e">
        <f t="shared" ref="V3:V10" si="1">U3</f>
        <v>#DIV/0!</v>
      </c>
    </row>
    <row r="4" spans="1:24" ht="15" customHeight="1" x14ac:dyDescent="0.2">
      <c r="A4" s="97" t="s">
        <v>33</v>
      </c>
      <c r="B4" s="163">
        <f>pH!$B$4</f>
        <v>0</v>
      </c>
      <c r="C4" s="162"/>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
      <c r="A6" s="106" t="s">
        <v>18</v>
      </c>
      <c r="B6" s="20">
        <v>12</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62"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123</v>
      </c>
      <c r="B1" s="154"/>
      <c r="C1" s="154"/>
      <c r="E1" s="164" t="s">
        <v>16</v>
      </c>
      <c r="F1" s="164"/>
      <c r="G1" s="164"/>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5">
      <c r="A6" s="106" t="s">
        <v>18</v>
      </c>
      <c r="B6" s="115">
        <v>0.5</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39"/>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horizontalDpi="4294967293" verticalDpi="1200" r:id="rId1"/>
  <headerFooter alignWithMargins="0">
    <oddHeader>&amp;C&amp;"Arial,Fett"&amp;14Ermittlung von Auslöseschwellen nach § 12 (1) DepV</oddHeader>
    <oddFooter>&amp;L&amp;G&amp;RVersion 2.1 (2018)</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M7" sqref="M7"/>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125</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5">
      <c r="A6" s="106" t="s">
        <v>18</v>
      </c>
      <c r="B6" s="115">
        <v>250</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62"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39"/>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M42" sqref="M42"/>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154</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5">
      <c r="A6" s="106" t="s">
        <v>18</v>
      </c>
      <c r="B6" s="115">
        <v>250</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62"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39"/>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8" t="s">
        <v>127</v>
      </c>
      <c r="B1" s="159"/>
      <c r="C1" s="159"/>
      <c r="E1" s="148" t="s">
        <v>16</v>
      </c>
      <c r="F1" s="148"/>
      <c r="G1" s="148"/>
      <c r="T1" s="83" t="s">
        <v>30</v>
      </c>
      <c r="U1" s="2"/>
      <c r="V1" s="2"/>
    </row>
    <row r="2" spans="1:24" ht="15" customHeight="1" x14ac:dyDescent="0.2">
      <c r="A2" s="160"/>
      <c r="B2" s="159"/>
      <c r="C2" s="159"/>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
      <c r="A6" s="106" t="s">
        <v>18</v>
      </c>
      <c r="B6" s="94" t="s">
        <v>93</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(2018)0</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M7" sqref="M7"/>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128</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5">
      <c r="A6" s="106" t="s">
        <v>18</v>
      </c>
      <c r="B6" s="115">
        <v>0.9</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36161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44196</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M7" sqref="M7"/>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129</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5">
      <c r="A6" s="106" t="s">
        <v>18</v>
      </c>
      <c r="B6" s="115">
        <v>0.01</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131</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5">
      <c r="A6" s="106" t="s">
        <v>18</v>
      </c>
      <c r="B6" s="115">
        <v>0.05</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130</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5">
      <c r="A6" s="106" t="s">
        <v>18</v>
      </c>
      <c r="B6" s="115">
        <v>0.74</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133</v>
      </c>
      <c r="B1" s="154"/>
      <c r="C1" s="154"/>
      <c r="E1" s="148" t="s">
        <v>16</v>
      </c>
      <c r="F1" s="148"/>
      <c r="G1" s="148"/>
      <c r="T1" s="83" t="s">
        <v>30</v>
      </c>
      <c r="U1" s="2"/>
      <c r="V1" s="2"/>
    </row>
    <row r="2" spans="1:24" ht="15" customHeight="1" x14ac:dyDescent="0.2">
      <c r="A2" s="155"/>
      <c r="B2" s="154"/>
      <c r="C2" s="154"/>
      <c r="M2" s="134" t="s">
        <v>0</v>
      </c>
      <c r="N2" s="134" t="s">
        <v>79</v>
      </c>
      <c r="O2" s="134"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100</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51501</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134</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0.2</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8" t="s">
        <v>135</v>
      </c>
      <c r="B1" s="159"/>
      <c r="C1" s="159"/>
      <c r="E1" s="148" t="s">
        <v>16</v>
      </c>
      <c r="F1" s="148"/>
      <c r="G1" s="148"/>
      <c r="T1" s="83" t="s">
        <v>30</v>
      </c>
      <c r="U1" s="2"/>
      <c r="V1" s="2"/>
    </row>
    <row r="2" spans="1:24" ht="15" customHeight="1" x14ac:dyDescent="0.2">
      <c r="A2" s="160"/>
      <c r="B2" s="159"/>
      <c r="C2" s="159"/>
      <c r="M2" s="134" t="s">
        <v>0</v>
      </c>
      <c r="N2" s="134" t="s">
        <v>79</v>
      </c>
      <c r="O2" s="134"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71</v>
      </c>
      <c r="C5" s="18"/>
      <c r="D5" s="4"/>
      <c r="M5" s="56"/>
      <c r="N5" s="57"/>
      <c r="O5" s="58" t="b">
        <f t="shared" si="0"/>
        <v>0</v>
      </c>
      <c r="T5" s="69" t="s">
        <v>109</v>
      </c>
      <c r="U5" s="82" t="e">
        <f>$B$22</f>
        <v>#DIV/0!</v>
      </c>
      <c r="V5" s="82" t="e">
        <f t="shared" si="1"/>
        <v>#DIV/0!</v>
      </c>
    </row>
    <row r="6" spans="1:24" ht="15" customHeight="1" x14ac:dyDescent="0.2">
      <c r="A6" s="106" t="s">
        <v>18</v>
      </c>
      <c r="B6" s="94" t="s">
        <v>93</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(2018)0</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136</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10</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8"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137</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7</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138</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0.5</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139</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7</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26" sqref="B2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140</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14</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62"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24"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141</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35</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36161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horizontalDpi="4294967293" verticalDpi="1200" r:id="rId1"/>
  <headerFooter alignWithMargins="0">
    <oddHeader>&amp;C&amp;"Arial,Fett"&amp;14Ermittlung von Auslöseschwellen nach § 12 (1) DepV&amp;R&amp;G</oddHeader>
    <oddFooter>&amp;L&amp;G&amp;RVersion 2.1 (2018)</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26" sqref="B2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142</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14</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B36" sqref="B36"/>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143</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0.2</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tabSelected="1" zoomScale="75" workbookViewId="0">
      <selection activeCell="M7" sqref="M7"/>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53" t="s">
        <v>144</v>
      </c>
      <c r="B1" s="154"/>
      <c r="C1" s="154"/>
      <c r="E1" s="148" t="s">
        <v>16</v>
      </c>
      <c r="F1" s="148"/>
      <c r="G1" s="148"/>
      <c r="T1" s="83" t="s">
        <v>30</v>
      </c>
      <c r="U1" s="2"/>
      <c r="V1" s="2"/>
    </row>
    <row r="2" spans="1:24" ht="15" customHeight="1" x14ac:dyDescent="0.2">
      <c r="A2" s="155"/>
      <c r="B2" s="154"/>
      <c r="C2" s="154"/>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20" t="s">
        <v>132</v>
      </c>
      <c r="C5" s="18"/>
      <c r="D5" s="4"/>
      <c r="M5" s="56"/>
      <c r="N5" s="57"/>
      <c r="O5" s="58" t="b">
        <f t="shared" si="0"/>
        <v>0</v>
      </c>
      <c r="T5" s="69" t="s">
        <v>109</v>
      </c>
      <c r="U5" s="82" t="e">
        <f>$B$22</f>
        <v>#DIV/0!</v>
      </c>
      <c r="V5" s="82" t="e">
        <f t="shared" si="1"/>
        <v>#DIV/0!</v>
      </c>
    </row>
    <row r="6" spans="1:24" ht="15" customHeight="1" x14ac:dyDescent="0.25">
      <c r="A6" s="106" t="s">
        <v>18</v>
      </c>
      <c r="B6" s="115">
        <v>60</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sqref="A1:C2"/>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65" t="s">
        <v>145</v>
      </c>
      <c r="B1" s="166"/>
      <c r="C1" s="166"/>
      <c r="E1" s="148" t="s">
        <v>16</v>
      </c>
      <c r="F1" s="148"/>
      <c r="G1" s="148"/>
      <c r="T1" s="83" t="s">
        <v>30</v>
      </c>
      <c r="U1" s="2"/>
      <c r="V1" s="2"/>
    </row>
    <row r="2" spans="1:24" ht="15" customHeight="1" x14ac:dyDescent="0.2">
      <c r="A2" s="167"/>
      <c r="B2" s="166"/>
      <c r="C2" s="166"/>
      <c r="M2" s="134" t="s">
        <v>0</v>
      </c>
      <c r="N2" s="134" t="s">
        <v>79</v>
      </c>
      <c r="O2" s="134"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132"/>
      <c r="C5" s="18"/>
      <c r="D5" s="4"/>
      <c r="M5" s="56"/>
      <c r="N5" s="57"/>
      <c r="O5" s="58" t="b">
        <f t="shared" si="0"/>
        <v>0</v>
      </c>
      <c r="T5" s="69" t="s">
        <v>109</v>
      </c>
      <c r="U5" s="82" t="e">
        <f>$B$22</f>
        <v>#DIV/0!</v>
      </c>
      <c r="V5" s="82" t="e">
        <f t="shared" si="1"/>
        <v>#DIV/0!</v>
      </c>
    </row>
    <row r="6" spans="1:24" ht="15" customHeight="1" x14ac:dyDescent="0.2">
      <c r="A6" s="106" t="s">
        <v>18</v>
      </c>
      <c r="B6" s="132">
        <v>0</v>
      </c>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horizontalDpi="4294967293" verticalDpi="1200" r:id="rId1"/>
  <headerFooter alignWithMargins="0">
    <oddHeader>&amp;C&amp;"Arial,Fett"&amp;14Ermittlung von Auslöseschwellen nach § 12 (1) DepV</oddHeader>
    <oddFooter>&amp;L&amp;G&amp;RVersion 2.1 (2018)</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sqref="A1:C2"/>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65" t="s">
        <v>145</v>
      </c>
      <c r="B1" s="166"/>
      <c r="C1" s="166"/>
      <c r="E1" s="148" t="s">
        <v>16</v>
      </c>
      <c r="F1" s="148"/>
      <c r="G1" s="148"/>
      <c r="T1" s="83" t="s">
        <v>30</v>
      </c>
      <c r="U1" s="2"/>
      <c r="V1" s="2"/>
    </row>
    <row r="2" spans="1:24" ht="15" customHeight="1" x14ac:dyDescent="0.2">
      <c r="A2" s="167"/>
      <c r="B2" s="166"/>
      <c r="C2" s="166"/>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132"/>
      <c r="C5" s="18"/>
      <c r="D5" s="4"/>
      <c r="M5" s="56"/>
      <c r="N5" s="57"/>
      <c r="O5" s="58" t="b">
        <f t="shared" si="0"/>
        <v>0</v>
      </c>
      <c r="T5" s="69" t="s">
        <v>109</v>
      </c>
      <c r="U5" s="82" t="e">
        <f>$B$22</f>
        <v>#DIV/0!</v>
      </c>
      <c r="V5" s="82" t="e">
        <f t="shared" si="1"/>
        <v>#DIV/0!</v>
      </c>
    </row>
    <row r="6" spans="1:24" ht="15" customHeight="1" x14ac:dyDescent="0.2">
      <c r="A6" s="106" t="s">
        <v>18</v>
      </c>
      <c r="B6" s="132"/>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36161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44196</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horizontalDpi="4294967293" verticalDpi="1200" r:id="rId1"/>
  <headerFooter alignWithMargins="0">
    <oddHeader>&amp;C&amp;"Arial,Fett"&amp;14Ermittlung von Auslöseschwellen nach § 12 (1) DepV</oddHeader>
    <oddFooter>&amp;L&amp;G&amp;RVersion 2.1 (2018)</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sqref="A1:C2"/>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65" t="s">
        <v>145</v>
      </c>
      <c r="B1" s="166"/>
      <c r="C1" s="166"/>
      <c r="E1" s="148" t="s">
        <v>16</v>
      </c>
      <c r="F1" s="148"/>
      <c r="G1" s="148"/>
      <c r="T1" s="83" t="s">
        <v>30</v>
      </c>
      <c r="U1" s="2"/>
      <c r="V1" s="2"/>
    </row>
    <row r="2" spans="1:24" ht="15" customHeight="1" x14ac:dyDescent="0.2">
      <c r="A2" s="167"/>
      <c r="B2" s="166"/>
      <c r="C2" s="166"/>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132"/>
      <c r="C5" s="18"/>
      <c r="D5" s="4"/>
      <c r="M5" s="56"/>
      <c r="N5" s="57"/>
      <c r="O5" s="58" t="b">
        <f t="shared" si="0"/>
        <v>0</v>
      </c>
      <c r="T5" s="69" t="s">
        <v>109</v>
      </c>
      <c r="U5" s="82" t="e">
        <f>$B$22</f>
        <v>#DIV/0!</v>
      </c>
      <c r="V5" s="82" t="e">
        <f t="shared" si="1"/>
        <v>#DIV/0!</v>
      </c>
    </row>
    <row r="6" spans="1:24" ht="15" customHeight="1" x14ac:dyDescent="0.2">
      <c r="A6" s="106" t="s">
        <v>18</v>
      </c>
      <c r="B6" s="132"/>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horizontalDpi="4294967293" verticalDpi="1200" r:id="rId1"/>
  <headerFooter alignWithMargins="0">
    <oddHeader>&amp;C&amp;"Arial,Fett"&amp;14Ermittlung von Auslöseschwellen nach § 12 (1) DepV</oddHeader>
    <oddFooter>&amp;L&amp;G&amp;RVersion 2.1 (2018)</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sqref="A1:C2"/>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65" t="s">
        <v>145</v>
      </c>
      <c r="B1" s="166"/>
      <c r="C1" s="166"/>
      <c r="E1" s="148" t="s">
        <v>16</v>
      </c>
      <c r="F1" s="148"/>
      <c r="G1" s="148"/>
      <c r="T1" s="83" t="s">
        <v>30</v>
      </c>
      <c r="U1" s="2"/>
      <c r="V1" s="2"/>
    </row>
    <row r="2" spans="1:24" ht="15" customHeight="1" x14ac:dyDescent="0.2">
      <c r="A2" s="167"/>
      <c r="B2" s="166"/>
      <c r="C2" s="166"/>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132"/>
      <c r="C5" s="18"/>
      <c r="D5" s="4"/>
      <c r="M5" s="56"/>
      <c r="N5" s="57"/>
      <c r="O5" s="58" t="b">
        <f t="shared" si="0"/>
        <v>0</v>
      </c>
      <c r="T5" s="69" t="s">
        <v>109</v>
      </c>
      <c r="U5" s="82" t="e">
        <f>$B$22</f>
        <v>#DIV/0!</v>
      </c>
      <c r="V5" s="82" t="e">
        <f t="shared" si="1"/>
        <v>#DIV/0!</v>
      </c>
    </row>
    <row r="6" spans="1:24" ht="15" customHeight="1" x14ac:dyDescent="0.2">
      <c r="A6" s="106" t="s">
        <v>18</v>
      </c>
      <c r="B6" s="132"/>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73415</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horizontalDpi="4294967293" verticalDpi="1200" r:id="rId1"/>
  <headerFooter alignWithMargins="0">
    <oddHeader>&amp;C&amp;"Arial,Fett"&amp;14Ermittlung von Auslöseschwellen nach § 12 (1) DepV</oddHeader>
    <oddFooter>&amp;L&amp;G&amp;RVersion 2.1 (2018)</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2"/>
  <sheetViews>
    <sheetView zoomScale="75" workbookViewId="0">
      <selection activeCell="M41" sqref="M41"/>
    </sheetView>
  </sheetViews>
  <sheetFormatPr baseColWidth="10" defaultColWidth="11.5703125" defaultRowHeight="12.75" x14ac:dyDescent="0.2"/>
  <cols>
    <col min="1" max="1" width="25.7109375" style="1" customWidth="1"/>
    <col min="2" max="3" width="16.7109375" style="1" customWidth="1"/>
    <col min="4" max="4" width="4.140625" style="1" customWidth="1"/>
    <col min="5" max="5" width="11.7109375" style="1" bestFit="1" customWidth="1"/>
    <col min="6" max="6" width="17.5703125" style="1" customWidth="1"/>
    <col min="7" max="7" width="13.85546875" style="1" bestFit="1" customWidth="1"/>
    <col min="8" max="8" width="18.5703125" style="1" customWidth="1"/>
    <col min="9" max="9" width="11.7109375" style="1" bestFit="1" customWidth="1"/>
    <col min="10" max="10" width="15.140625" style="1" customWidth="1"/>
    <col min="11" max="11" width="13.85546875" style="1" bestFit="1" customWidth="1"/>
    <col min="12" max="12" width="4.7109375" style="1" customWidth="1"/>
    <col min="13" max="13" width="13.7109375" style="1" customWidth="1"/>
    <col min="14" max="14" width="12.42578125" style="1" bestFit="1" customWidth="1"/>
    <col min="15" max="15" width="11.7109375" style="1" bestFit="1" customWidth="1"/>
    <col min="16" max="16" width="8" style="1" customWidth="1"/>
    <col min="17" max="21" width="11.5703125" style="1"/>
    <col min="22" max="25" width="11.7109375" style="1" bestFit="1" customWidth="1"/>
    <col min="26" max="16384" width="11.5703125" style="1"/>
  </cols>
  <sheetData>
    <row r="1" spans="1:24" ht="15" customHeight="1" x14ac:dyDescent="0.25">
      <c r="A1" s="165" t="s">
        <v>145</v>
      </c>
      <c r="B1" s="166"/>
      <c r="C1" s="166"/>
      <c r="E1" s="148" t="s">
        <v>16</v>
      </c>
      <c r="F1" s="148"/>
      <c r="G1" s="148"/>
      <c r="T1" s="83" t="s">
        <v>30</v>
      </c>
      <c r="U1" s="2"/>
      <c r="V1" s="2"/>
    </row>
    <row r="2" spans="1:24" ht="15" customHeight="1" x14ac:dyDescent="0.2">
      <c r="A2" s="167"/>
      <c r="B2" s="166"/>
      <c r="C2" s="166"/>
      <c r="M2" s="55" t="s">
        <v>0</v>
      </c>
      <c r="N2" s="55" t="s">
        <v>79</v>
      </c>
      <c r="O2" s="55" t="s">
        <v>1</v>
      </c>
      <c r="T2" s="11"/>
      <c r="U2" s="79">
        <v>0</v>
      </c>
      <c r="V2" s="79">
        <v>1000</v>
      </c>
    </row>
    <row r="3" spans="1:24" ht="15" customHeight="1" x14ac:dyDescent="0.2">
      <c r="A3" s="96" t="s">
        <v>99</v>
      </c>
      <c r="B3" s="157">
        <f>pH!$B$3</f>
        <v>0</v>
      </c>
      <c r="C3" s="157"/>
      <c r="M3" s="56"/>
      <c r="N3" s="57"/>
      <c r="O3" s="58" t="b">
        <f t="shared" ref="O3:O66" si="0">IF($N3&gt;0,LN($N3+$B$26))</f>
        <v>0</v>
      </c>
      <c r="T3" s="69" t="s">
        <v>108</v>
      </c>
      <c r="U3" s="82" t="e">
        <f>$B$21</f>
        <v>#DIV/0!</v>
      </c>
      <c r="V3" s="82" t="e">
        <f t="shared" ref="V3:V10" si="1">U3</f>
        <v>#DIV/0!</v>
      </c>
    </row>
    <row r="4" spans="1:24" ht="15" customHeight="1" x14ac:dyDescent="0.2">
      <c r="A4" s="97" t="s">
        <v>33</v>
      </c>
      <c r="B4" s="156">
        <f>pH!$B$4</f>
        <v>0</v>
      </c>
      <c r="C4" s="157"/>
      <c r="M4" s="56"/>
      <c r="N4" s="57"/>
      <c r="O4" s="58" t="b">
        <f t="shared" si="0"/>
        <v>0</v>
      </c>
      <c r="T4" s="69" t="s">
        <v>110</v>
      </c>
      <c r="U4" s="82" t="e">
        <f>$B$31</f>
        <v>#DIV/0!</v>
      </c>
      <c r="V4" s="82" t="e">
        <f t="shared" si="1"/>
        <v>#DIV/0!</v>
      </c>
    </row>
    <row r="5" spans="1:24" ht="15" customHeight="1" x14ac:dyDescent="0.2">
      <c r="A5" s="96" t="s">
        <v>70</v>
      </c>
      <c r="B5" s="132"/>
      <c r="C5" s="18"/>
      <c r="D5" s="4"/>
      <c r="M5" s="56"/>
      <c r="N5" s="57"/>
      <c r="O5" s="58" t="b">
        <f t="shared" si="0"/>
        <v>0</v>
      </c>
      <c r="T5" s="69" t="s">
        <v>109</v>
      </c>
      <c r="U5" s="82" t="e">
        <f>$B$22</f>
        <v>#DIV/0!</v>
      </c>
      <c r="V5" s="82" t="e">
        <f t="shared" si="1"/>
        <v>#DIV/0!</v>
      </c>
    </row>
    <row r="6" spans="1:24" ht="15" customHeight="1" x14ac:dyDescent="0.2">
      <c r="A6" s="106" t="s">
        <v>18</v>
      </c>
      <c r="B6" s="132"/>
      <c r="C6" s="18"/>
      <c r="M6" s="56"/>
      <c r="N6" s="57"/>
      <c r="O6" s="58" t="b">
        <f t="shared" si="0"/>
        <v>0</v>
      </c>
      <c r="T6" s="69" t="s">
        <v>29</v>
      </c>
      <c r="U6" s="82" t="e">
        <f>$B$32</f>
        <v>#DIV/0!</v>
      </c>
      <c r="V6" s="82" t="e">
        <f t="shared" si="1"/>
        <v>#DIV/0!</v>
      </c>
    </row>
    <row r="7" spans="1:24" ht="15" customHeight="1" x14ac:dyDescent="0.2">
      <c r="D7" s="4"/>
      <c r="F7" s="5"/>
      <c r="M7" s="56"/>
      <c r="N7" s="57"/>
      <c r="O7" s="58" t="b">
        <f t="shared" si="0"/>
        <v>0</v>
      </c>
      <c r="T7" s="69" t="s">
        <v>31</v>
      </c>
      <c r="U7" s="82" t="e">
        <f>$C$21</f>
        <v>#DIV/0!</v>
      </c>
      <c r="V7" s="82" t="e">
        <f t="shared" si="1"/>
        <v>#DIV/0!</v>
      </c>
    </row>
    <row r="8" spans="1:24" ht="15" customHeight="1" x14ac:dyDescent="0.25">
      <c r="A8" s="144" t="s">
        <v>12</v>
      </c>
      <c r="B8" s="144"/>
      <c r="C8" s="144"/>
      <c r="D8" s="4"/>
      <c r="M8" s="56"/>
      <c r="N8" s="57"/>
      <c r="O8" s="58" t="b">
        <f t="shared" si="0"/>
        <v>0</v>
      </c>
      <c r="T8" s="69" t="s">
        <v>32</v>
      </c>
      <c r="U8" s="82" t="e">
        <f>$C$31</f>
        <v>#DIV/0!</v>
      </c>
      <c r="V8" s="82" t="e">
        <f t="shared" si="1"/>
        <v>#DIV/0!</v>
      </c>
    </row>
    <row r="9" spans="1:24" ht="15" customHeight="1" x14ac:dyDescent="0.2">
      <c r="A9" s="100" t="s">
        <v>11</v>
      </c>
      <c r="B9" s="59">
        <f>COUNT($M$3:$M252)</f>
        <v>0</v>
      </c>
      <c r="C9" s="60"/>
      <c r="D9" s="4"/>
      <c r="M9" s="56"/>
      <c r="N9" s="57"/>
      <c r="O9" s="58" t="b">
        <f t="shared" si="0"/>
        <v>0</v>
      </c>
      <c r="T9" s="69" t="s">
        <v>111</v>
      </c>
      <c r="U9" s="82" t="e">
        <f>$C$22</f>
        <v>#DIV/0!</v>
      </c>
      <c r="V9" s="82" t="e">
        <f t="shared" si="1"/>
        <v>#DIV/0!</v>
      </c>
    </row>
    <row r="10" spans="1:24" ht="15" customHeight="1" x14ac:dyDescent="0.2">
      <c r="A10" s="101" t="s">
        <v>7</v>
      </c>
      <c r="B10" s="61">
        <f>MIN($N$3:$N$252)</f>
        <v>0</v>
      </c>
      <c r="C10" s="60"/>
      <c r="D10" s="4"/>
      <c r="M10" s="56"/>
      <c r="N10" s="57"/>
      <c r="O10" s="58" t="b">
        <f t="shared" si="0"/>
        <v>0</v>
      </c>
      <c r="T10" s="69" t="s">
        <v>112</v>
      </c>
      <c r="U10" s="82" t="e">
        <f>$C$32</f>
        <v>#DIV/0!</v>
      </c>
      <c r="V10" s="82" t="e">
        <f t="shared" si="1"/>
        <v>#DIV/0!</v>
      </c>
    </row>
    <row r="11" spans="1:24" ht="15" customHeight="1" x14ac:dyDescent="0.2">
      <c r="A11" s="101" t="s">
        <v>8</v>
      </c>
      <c r="B11" s="61">
        <f>MAX($N$3:$N$252)</f>
        <v>0</v>
      </c>
      <c r="C11" s="60"/>
      <c r="D11" s="4"/>
      <c r="M11" s="56"/>
      <c r="N11" s="57"/>
      <c r="O11" s="58" t="b">
        <f t="shared" si="0"/>
        <v>0</v>
      </c>
      <c r="T11" s="69" t="s">
        <v>68</v>
      </c>
      <c r="U11" s="82" t="e">
        <f>$B$12</f>
        <v>#NUM!</v>
      </c>
      <c r="V11" s="82" t="e">
        <f>U11</f>
        <v>#NUM!</v>
      </c>
    </row>
    <row r="12" spans="1:24" ht="15" customHeight="1" x14ac:dyDescent="0.2">
      <c r="A12" s="101" t="s">
        <v>68</v>
      </c>
      <c r="B12" s="62" t="e">
        <f>MEDIAN($N$3:$N$252)</f>
        <v>#NUM!</v>
      </c>
      <c r="C12" s="50"/>
      <c r="D12" s="4"/>
      <c r="M12" s="56"/>
      <c r="N12" s="57"/>
      <c r="O12" s="58" t="b">
        <f t="shared" si="0"/>
        <v>0</v>
      </c>
    </row>
    <row r="13" spans="1:24" ht="15" customHeight="1" x14ac:dyDescent="0.2">
      <c r="A13" s="105" t="s">
        <v>69</v>
      </c>
      <c r="B13" s="20" t="e">
        <f>IF(ABS($G$118)&gt;$J$120,"&gt; 99%",IF(ABS($G$118)&gt;$I$120,"&gt; 95%","nicht signifikant"))</f>
        <v>#DIV/0!</v>
      </c>
      <c r="C13" s="50"/>
      <c r="M13" s="56"/>
      <c r="N13" s="57"/>
      <c r="O13" s="58" t="b">
        <f t="shared" si="0"/>
        <v>0</v>
      </c>
      <c r="T13" s="69" t="s">
        <v>9</v>
      </c>
      <c r="U13" s="69" t="s">
        <v>22</v>
      </c>
      <c r="V13" s="69" t="s">
        <v>10</v>
      </c>
      <c r="W13" s="69" t="s">
        <v>24</v>
      </c>
      <c r="X13" s="69" t="s">
        <v>23</v>
      </c>
    </row>
    <row r="14" spans="1:24" ht="15" customHeight="1" x14ac:dyDescent="0.2">
      <c r="D14" s="4"/>
      <c r="M14" s="56"/>
      <c r="N14" s="57"/>
      <c r="O14" s="58" t="b">
        <f t="shared" si="0"/>
        <v>0</v>
      </c>
      <c r="T14" s="11"/>
      <c r="U14" s="77">
        <f>$B$36</f>
        <v>0</v>
      </c>
      <c r="V14" s="78"/>
      <c r="W14" s="79">
        <v>0</v>
      </c>
      <c r="X14" s="80" t="e">
        <f t="shared" ref="X14:X40" si="2">V14/$B$38/$B$9</f>
        <v>#DIV/0!</v>
      </c>
    </row>
    <row r="15" spans="1:24" ht="15" customHeight="1" x14ac:dyDescent="0.25">
      <c r="A15" s="144" t="s">
        <v>72</v>
      </c>
      <c r="B15" s="144"/>
      <c r="C15" s="144"/>
      <c r="D15" s="4"/>
      <c r="M15" s="56"/>
      <c r="N15" s="57"/>
      <c r="O15" s="58" t="b">
        <f t="shared" si="0"/>
        <v>0</v>
      </c>
      <c r="T15" s="69">
        <v>1</v>
      </c>
      <c r="U15" s="77">
        <f t="shared" ref="U15:U39" si="3">$B$36+T15*$B$38</f>
        <v>0</v>
      </c>
      <c r="V15" s="84">
        <f>FREQUENCY($N$3:$N$252,$U$15:$U$39)</f>
        <v>0</v>
      </c>
      <c r="W15" s="79">
        <f t="shared" ref="W15:W39" si="4">(U15+U14)/2</f>
        <v>0</v>
      </c>
      <c r="X15" s="80" t="e">
        <f t="shared" si="2"/>
        <v>#DIV/0!</v>
      </c>
    </row>
    <row r="16" spans="1:24" ht="15" customHeight="1" x14ac:dyDescent="0.2">
      <c r="A16" s="100" t="s">
        <v>73</v>
      </c>
      <c r="B16" s="63" t="e">
        <f>AVERAGE($N$3:$N$252)</f>
        <v>#DIV/0!</v>
      </c>
      <c r="C16" s="60"/>
      <c r="M16" s="56"/>
      <c r="N16" s="57"/>
      <c r="O16" s="58" t="b">
        <f t="shared" si="0"/>
        <v>0</v>
      </c>
      <c r="T16" s="69">
        <v>2</v>
      </c>
      <c r="U16" s="77">
        <f t="shared" si="3"/>
        <v>0</v>
      </c>
      <c r="V16" s="84">
        <f t="array" ref="V16:V40">FREQUENCY($N$3:$N$252,$U$15:$U$39)</f>
        <v>0</v>
      </c>
      <c r="W16" s="79">
        <f t="shared" si="4"/>
        <v>0</v>
      </c>
      <c r="X16" s="80" t="e">
        <f t="shared" si="2"/>
        <v>#DIV/0!</v>
      </c>
    </row>
    <row r="17" spans="1:24" ht="15" customHeight="1" x14ac:dyDescent="0.2">
      <c r="A17" s="101" t="s">
        <v>75</v>
      </c>
      <c r="B17" s="62" t="e">
        <f>STDEV($N$3:$N$252)</f>
        <v>#DIV/0!</v>
      </c>
      <c r="C17" s="60"/>
      <c r="D17" s="4"/>
      <c r="M17" s="56"/>
      <c r="N17" s="57"/>
      <c r="O17" s="58" t="b">
        <f t="shared" si="0"/>
        <v>0</v>
      </c>
      <c r="T17" s="69">
        <v>3</v>
      </c>
      <c r="U17" s="77">
        <f t="shared" si="3"/>
        <v>0</v>
      </c>
      <c r="V17" s="84">
        <v>0</v>
      </c>
      <c r="W17" s="79">
        <f t="shared" si="4"/>
        <v>0</v>
      </c>
      <c r="X17" s="80" t="e">
        <f t="shared" si="2"/>
        <v>#DIV/0!</v>
      </c>
    </row>
    <row r="18" spans="1:24" ht="15" customHeight="1" x14ac:dyDescent="0.2">
      <c r="A18" s="101" t="s">
        <v>92</v>
      </c>
      <c r="B18" s="24" t="e">
        <f>((NORMINV(0.83,B16,B17)-B12)-(B12-NORMINV(0.17,B16,B17)))/(NORMINV(0.83,B16,B17)-NORMINV(0.17,B16,B17))</f>
        <v>#DIV/0!</v>
      </c>
      <c r="C18" s="113" t="s">
        <v>45</v>
      </c>
      <c r="D18" s="4"/>
      <c r="J18" s="6"/>
      <c r="M18" s="56"/>
      <c r="N18" s="57"/>
      <c r="O18" s="58" t="b">
        <f t="shared" si="0"/>
        <v>0</v>
      </c>
      <c r="T18" s="69">
        <v>4</v>
      </c>
      <c r="U18" s="77">
        <f t="shared" si="3"/>
        <v>0</v>
      </c>
      <c r="V18" s="84">
        <v>0</v>
      </c>
      <c r="W18" s="79">
        <f t="shared" si="4"/>
        <v>0</v>
      </c>
      <c r="X18" s="80" t="e">
        <f t="shared" si="2"/>
        <v>#DIV/0!</v>
      </c>
    </row>
    <row r="19" spans="1:24" ht="15" customHeight="1" x14ac:dyDescent="0.25">
      <c r="A19" s="101" t="s">
        <v>25</v>
      </c>
      <c r="B19" s="20" t="e">
        <f>IF(ABS(($B$16-$B$12)/$B$16)&lt;=0.1,"gut",IF(ABS(($B$16-$B$12)/$B$16)&lt;=0.2,"mäßig","schlecht"))</f>
        <v>#DIV/0!</v>
      </c>
      <c r="C19" s="64"/>
      <c r="D19" s="4"/>
      <c r="M19" s="56"/>
      <c r="N19" s="57"/>
      <c r="O19" s="58" t="b">
        <f t="shared" si="0"/>
        <v>0</v>
      </c>
      <c r="T19" s="69">
        <v>5</v>
      </c>
      <c r="U19" s="77">
        <f t="shared" si="3"/>
        <v>0</v>
      </c>
      <c r="V19" s="84">
        <v>0</v>
      </c>
      <c r="W19" s="79">
        <f t="shared" si="4"/>
        <v>0</v>
      </c>
      <c r="X19" s="80" t="e">
        <f t="shared" si="2"/>
        <v>#DIV/0!</v>
      </c>
    </row>
    <row r="20" spans="1:24" ht="15" customHeight="1" x14ac:dyDescent="0.2">
      <c r="A20" s="101" t="s">
        <v>44</v>
      </c>
      <c r="B20" s="20" t="e">
        <f>IF(((B11-B10)/B17)&gt;INDEX(XX!$B$4:'XX'!$B$150,$B$9-3),"ja","nein")</f>
        <v>#DIV/0!</v>
      </c>
      <c r="C20" s="50"/>
      <c r="D20" s="4"/>
      <c r="J20" s="6"/>
      <c r="M20" s="56"/>
      <c r="N20" s="57"/>
      <c r="O20" s="58" t="b">
        <f t="shared" si="0"/>
        <v>0</v>
      </c>
      <c r="T20" s="69">
        <v>6</v>
      </c>
      <c r="U20" s="77">
        <f t="shared" si="3"/>
        <v>0</v>
      </c>
      <c r="V20" s="84">
        <v>0</v>
      </c>
      <c r="W20" s="79">
        <f t="shared" si="4"/>
        <v>0</v>
      </c>
      <c r="X20" s="80" t="e">
        <f t="shared" si="2"/>
        <v>#DIV/0!</v>
      </c>
    </row>
    <row r="21" spans="1:24" ht="15" customHeight="1" x14ac:dyDescent="0.2">
      <c r="A21" s="102" t="s">
        <v>76</v>
      </c>
      <c r="B21" s="62" t="e">
        <f>NORMINV(0.975,$B$16,$B$17)</f>
        <v>#DIV/0!</v>
      </c>
      <c r="C21" s="62" t="e">
        <f>NORMINV(0.025,$B$16,$B$17)</f>
        <v>#DIV/0!</v>
      </c>
      <c r="D21" s="4"/>
      <c r="M21" s="56"/>
      <c r="N21" s="57"/>
      <c r="O21" s="58" t="b">
        <f t="shared" si="0"/>
        <v>0</v>
      </c>
      <c r="T21" s="69">
        <v>7</v>
      </c>
      <c r="U21" s="77">
        <f t="shared" si="3"/>
        <v>0</v>
      </c>
      <c r="V21" s="84">
        <v>0</v>
      </c>
      <c r="W21" s="79">
        <f t="shared" si="4"/>
        <v>0</v>
      </c>
      <c r="X21" s="80" t="e">
        <f t="shared" si="2"/>
        <v>#DIV/0!</v>
      </c>
    </row>
    <row r="22" spans="1:24" ht="15" customHeight="1" x14ac:dyDescent="0.2">
      <c r="A22" s="103" t="s">
        <v>77</v>
      </c>
      <c r="B22" s="62" t="e">
        <f>NORMINV(0.99,$B$16,$B$17)</f>
        <v>#DIV/0!</v>
      </c>
      <c r="C22" s="62" t="e">
        <f>NORMINV(0.01,B16,B17)</f>
        <v>#DIV/0!</v>
      </c>
      <c r="M22" s="56"/>
      <c r="N22" s="57"/>
      <c r="O22" s="58" t="b">
        <f t="shared" si="0"/>
        <v>0</v>
      </c>
      <c r="T22" s="69">
        <v>8</v>
      </c>
      <c r="U22" s="77">
        <f t="shared" si="3"/>
        <v>0</v>
      </c>
      <c r="V22" s="84">
        <v>0</v>
      </c>
      <c r="W22" s="79">
        <f t="shared" si="4"/>
        <v>0</v>
      </c>
      <c r="X22" s="80" t="e">
        <f t="shared" si="2"/>
        <v>#DIV/0!</v>
      </c>
    </row>
    <row r="23" spans="1:24" ht="15" customHeight="1" x14ac:dyDescent="0.25">
      <c r="A23" s="111" t="s">
        <v>81</v>
      </c>
      <c r="B23" s="95" t="e">
        <f>MAX($B$22+0.5*$B$6,$B$6)</f>
        <v>#DIV/0!</v>
      </c>
      <c r="E23" s="148" t="s">
        <v>80</v>
      </c>
      <c r="F23" s="148"/>
      <c r="G23" s="148"/>
      <c r="M23" s="56"/>
      <c r="N23" s="57"/>
      <c r="O23" s="58" t="b">
        <f t="shared" si="0"/>
        <v>0</v>
      </c>
      <c r="T23" s="69">
        <v>9</v>
      </c>
      <c r="U23" s="77">
        <f t="shared" si="3"/>
        <v>0</v>
      </c>
      <c r="V23" s="84">
        <v>0</v>
      </c>
      <c r="W23" s="79">
        <f t="shared" si="4"/>
        <v>0</v>
      </c>
      <c r="X23" s="80" t="e">
        <f t="shared" si="2"/>
        <v>#DIV/0!</v>
      </c>
    </row>
    <row r="24" spans="1:24" ht="15" customHeight="1" x14ac:dyDescent="0.2">
      <c r="M24" s="56"/>
      <c r="N24" s="57"/>
      <c r="O24" s="58" t="b">
        <f t="shared" si="0"/>
        <v>0</v>
      </c>
      <c r="T24" s="69">
        <v>10</v>
      </c>
      <c r="U24" s="77">
        <f t="shared" si="3"/>
        <v>0</v>
      </c>
      <c r="V24" s="84">
        <v>0</v>
      </c>
      <c r="W24" s="79">
        <f t="shared" si="4"/>
        <v>0</v>
      </c>
      <c r="X24" s="80" t="e">
        <f t="shared" si="2"/>
        <v>#DIV/0!</v>
      </c>
    </row>
    <row r="25" spans="1:24" ht="15" customHeight="1" x14ac:dyDescent="0.25">
      <c r="A25" s="144" t="s">
        <v>74</v>
      </c>
      <c r="B25" s="144"/>
      <c r="C25" s="144"/>
      <c r="F25" s="7" t="e">
        <f>MEDIAN(C50:C199)</f>
        <v>#NUM!</v>
      </c>
      <c r="M25" s="56"/>
      <c r="N25" s="57"/>
      <c r="O25" s="58" t="b">
        <f t="shared" si="0"/>
        <v>0</v>
      </c>
      <c r="Q25" s="75" t="s">
        <v>68</v>
      </c>
      <c r="R25" s="75" t="e">
        <f>MEDIAN($O$3:$O$252)</f>
        <v>#NUM!</v>
      </c>
      <c r="T25" s="69">
        <v>11</v>
      </c>
      <c r="U25" s="77">
        <f t="shared" si="3"/>
        <v>0</v>
      </c>
      <c r="V25" s="84">
        <v>0</v>
      </c>
      <c r="W25" s="79">
        <f t="shared" si="4"/>
        <v>0</v>
      </c>
      <c r="X25" s="80" t="e">
        <f t="shared" si="2"/>
        <v>#DIV/0!</v>
      </c>
    </row>
    <row r="26" spans="1:24" ht="15" customHeight="1" x14ac:dyDescent="0.2">
      <c r="A26" s="86" t="s">
        <v>36</v>
      </c>
      <c r="B26" s="133">
        <v>0</v>
      </c>
      <c r="C26" s="62"/>
      <c r="E26" s="7" t="e">
        <f>AVERAGE(C50:C199)</f>
        <v>#DIV/0!</v>
      </c>
      <c r="M26" s="56"/>
      <c r="N26" s="57"/>
      <c r="O26" s="58" t="b">
        <f t="shared" si="0"/>
        <v>0</v>
      </c>
      <c r="Q26" s="75" t="s">
        <v>73</v>
      </c>
      <c r="R26" s="75" t="e">
        <f>AVERAGE($O$3:$O$252)</f>
        <v>#DIV/0!</v>
      </c>
      <c r="T26" s="69">
        <v>12</v>
      </c>
      <c r="U26" s="77">
        <f t="shared" si="3"/>
        <v>0</v>
      </c>
      <c r="V26" s="84">
        <v>0</v>
      </c>
      <c r="W26" s="79">
        <f t="shared" si="4"/>
        <v>0</v>
      </c>
      <c r="X26" s="80" t="e">
        <f t="shared" si="2"/>
        <v>#DIV/0!</v>
      </c>
    </row>
    <row r="27" spans="1:24" ht="15" customHeight="1" x14ac:dyDescent="0.2">
      <c r="A27" s="65" t="s">
        <v>17</v>
      </c>
      <c r="B27" s="62" t="e">
        <f>EXP($R$26)</f>
        <v>#DIV/0!</v>
      </c>
      <c r="C27" s="62"/>
      <c r="E27" s="7" t="e">
        <f>STDEV(C50:C199)</f>
        <v>#DIV/0!</v>
      </c>
      <c r="F27" s="7" t="e">
        <f>NORMINV(0.025,$E26,$E27)</f>
        <v>#DIV/0!</v>
      </c>
      <c r="M27" s="56"/>
      <c r="N27" s="57"/>
      <c r="O27" s="58" t="b">
        <f t="shared" si="0"/>
        <v>0</v>
      </c>
      <c r="Q27" s="75" t="s">
        <v>103</v>
      </c>
      <c r="R27" s="75" t="e">
        <f>STDEV($O$3:$O$252)</f>
        <v>#DIV/0!</v>
      </c>
      <c r="T27" s="69">
        <v>13</v>
      </c>
      <c r="U27" s="77">
        <f t="shared" si="3"/>
        <v>0</v>
      </c>
      <c r="V27" s="84">
        <v>0</v>
      </c>
      <c r="W27" s="79">
        <f t="shared" si="4"/>
        <v>0</v>
      </c>
      <c r="X27" s="80" t="e">
        <f t="shared" si="2"/>
        <v>#DIV/0!</v>
      </c>
    </row>
    <row r="28" spans="1:24" ht="15" customHeight="1" x14ac:dyDescent="0.2">
      <c r="A28" s="65" t="s">
        <v>92</v>
      </c>
      <c r="B28" s="24" t="e">
        <f>((NORMINV(0.83,$R$26,$R$27)-$R25)-($R$25-NORMINV(0.17,$R$26,$R$27)))/(NORMINV(0.83,$R$26,$R$27)-NORMINV(0.17,$R$26,$R$27))</f>
        <v>#DIV/0!</v>
      </c>
      <c r="C28" s="114" t="s">
        <v>45</v>
      </c>
      <c r="F28" s="7" t="e">
        <f>NORMINV(0.01,$E$26,$E$27)</f>
        <v>#DIV/0!</v>
      </c>
      <c r="M28" s="56"/>
      <c r="N28" s="57"/>
      <c r="O28" s="58" t="b">
        <f t="shared" si="0"/>
        <v>0</v>
      </c>
      <c r="Q28" s="75" t="s">
        <v>107</v>
      </c>
      <c r="R28" s="75" t="e">
        <f>NORMINV(0.025,$R$26,$R$27)</f>
        <v>#DIV/0!</v>
      </c>
      <c r="T28" s="69">
        <v>14</v>
      </c>
      <c r="U28" s="77">
        <f t="shared" si="3"/>
        <v>0</v>
      </c>
      <c r="V28" s="84">
        <v>0</v>
      </c>
      <c r="W28" s="79">
        <f t="shared" si="4"/>
        <v>0</v>
      </c>
      <c r="X28" s="80" t="e">
        <f t="shared" si="2"/>
        <v>#DIV/0!</v>
      </c>
    </row>
    <row r="29" spans="1:24" ht="15" customHeight="1" x14ac:dyDescent="0.2">
      <c r="A29" s="65" t="s">
        <v>25</v>
      </c>
      <c r="B29" s="62" t="e">
        <f>IF(ABS(($R26-$R$25)/$R$26)&lt;=0.1,"gut",IF(ABS(($R$26-$R$25)/$R$26)&lt;=0.2,"mäßig","schlecht"))</f>
        <v>#DIV/0!</v>
      </c>
      <c r="C29" s="62"/>
      <c r="M29" s="56"/>
      <c r="N29" s="57"/>
      <c r="O29" s="58" t="b">
        <f t="shared" si="0"/>
        <v>0</v>
      </c>
      <c r="Q29" s="75" t="s">
        <v>106</v>
      </c>
      <c r="R29" s="75" t="e">
        <f>NORMINV(0.01,$R$26,$R$27)</f>
        <v>#DIV/0!</v>
      </c>
      <c r="T29" s="69">
        <v>15</v>
      </c>
      <c r="U29" s="77">
        <f t="shared" si="3"/>
        <v>0</v>
      </c>
      <c r="V29" s="84">
        <v>0</v>
      </c>
      <c r="W29" s="79">
        <f t="shared" si="4"/>
        <v>0</v>
      </c>
      <c r="X29" s="80" t="e">
        <f t="shared" si="2"/>
        <v>#DIV/0!</v>
      </c>
    </row>
    <row r="30" spans="1:24" ht="15" customHeight="1" x14ac:dyDescent="0.2">
      <c r="A30" s="65" t="s">
        <v>44</v>
      </c>
      <c r="B30" s="62" t="e">
        <f>IF(((MAX($N$3:$N$252)-MIN($O$3:$O$252))/$R$27)&gt;INDEX(XX!$B$4:$B$150,$B$9-3),"ja","nein")</f>
        <v>#DIV/0!</v>
      </c>
      <c r="C30" s="62"/>
      <c r="E30" s="7" t="e">
        <f>NORMINV(0.95,$E26,$E27)</f>
        <v>#DIV/0!</v>
      </c>
      <c r="M30" s="56"/>
      <c r="N30" s="57"/>
      <c r="O30" s="58" t="b">
        <f t="shared" si="0"/>
        <v>0</v>
      </c>
      <c r="Q30" s="75" t="s">
        <v>104</v>
      </c>
      <c r="R30" s="75" t="e">
        <f>NORMINV(0.95,$R$26,$R$27)</f>
        <v>#DIV/0!</v>
      </c>
      <c r="T30" s="69">
        <v>16</v>
      </c>
      <c r="U30" s="77">
        <f t="shared" si="3"/>
        <v>0</v>
      </c>
      <c r="V30" s="84">
        <v>0</v>
      </c>
      <c r="W30" s="79">
        <f t="shared" si="4"/>
        <v>0</v>
      </c>
      <c r="X30" s="80" t="e">
        <f t="shared" si="2"/>
        <v>#DIV/0!</v>
      </c>
    </row>
    <row r="31" spans="1:24" ht="15" customHeight="1" x14ac:dyDescent="0.2">
      <c r="A31" s="65" t="s">
        <v>98</v>
      </c>
      <c r="B31" s="62" t="e">
        <f>EXP($R30)-$B$26</f>
        <v>#DIV/0!</v>
      </c>
      <c r="C31" s="62" t="e">
        <f>NORMINV(0.025,$R$26,$R$27)</f>
        <v>#DIV/0!</v>
      </c>
      <c r="E31" s="7" t="e">
        <f>NORMINV(0.98,$E$26,$E$27)</f>
        <v>#DIV/0!</v>
      </c>
      <c r="M31" s="56"/>
      <c r="N31" s="57"/>
      <c r="O31" s="58" t="b">
        <f t="shared" si="0"/>
        <v>0</v>
      </c>
      <c r="Q31" s="75" t="s">
        <v>105</v>
      </c>
      <c r="R31" s="75" t="e">
        <f>NORMINV(0.98,$R$26,$R$27)</f>
        <v>#DIV/0!</v>
      </c>
      <c r="T31" s="69">
        <v>17</v>
      </c>
      <c r="U31" s="77">
        <f t="shared" si="3"/>
        <v>0</v>
      </c>
      <c r="V31" s="84">
        <v>0</v>
      </c>
      <c r="W31" s="79">
        <f t="shared" si="4"/>
        <v>0</v>
      </c>
      <c r="X31" s="80" t="e">
        <f t="shared" si="2"/>
        <v>#DIV/0!</v>
      </c>
    </row>
    <row r="32" spans="1:24" ht="15" customHeight="1" x14ac:dyDescent="0.2">
      <c r="A32" s="65" t="s">
        <v>86</v>
      </c>
      <c r="B32" s="62" t="e">
        <f>EXP($R$31)-$B$26</f>
        <v>#DIV/0!</v>
      </c>
      <c r="C32" s="62" t="e">
        <f>NORMINV(0.01,$R$26,$R$27)</f>
        <v>#DIV/0!</v>
      </c>
      <c r="M32" s="56"/>
      <c r="N32" s="57"/>
      <c r="O32" s="58" t="b">
        <f t="shared" si="0"/>
        <v>0</v>
      </c>
      <c r="T32" s="69">
        <v>18</v>
      </c>
      <c r="U32" s="77">
        <f t="shared" si="3"/>
        <v>0</v>
      </c>
      <c r="V32" s="84">
        <v>0</v>
      </c>
      <c r="W32" s="79">
        <f t="shared" si="4"/>
        <v>0</v>
      </c>
      <c r="X32" s="80" t="e">
        <f t="shared" si="2"/>
        <v>#DIV/0!</v>
      </c>
    </row>
    <row r="33" spans="1:24" ht="15" customHeight="1" x14ac:dyDescent="0.25">
      <c r="A33" s="111" t="s">
        <v>81</v>
      </c>
      <c r="B33" s="112" t="e">
        <f>MAX($B$32+0.5*$B$6,B6)</f>
        <v>#DIV/0!</v>
      </c>
      <c r="M33" s="56"/>
      <c r="N33" s="57"/>
      <c r="O33" s="58" t="b">
        <f t="shared" si="0"/>
        <v>0</v>
      </c>
      <c r="T33" s="69">
        <v>19</v>
      </c>
      <c r="U33" s="77">
        <f t="shared" si="3"/>
        <v>0</v>
      </c>
      <c r="V33" s="84">
        <v>0</v>
      </c>
      <c r="W33" s="79">
        <f t="shared" si="4"/>
        <v>0</v>
      </c>
      <c r="X33" s="80" t="e">
        <f t="shared" si="2"/>
        <v>#DIV/0!</v>
      </c>
    </row>
    <row r="34" spans="1:24" ht="15" customHeight="1" x14ac:dyDescent="0.2">
      <c r="M34" s="56"/>
      <c r="N34" s="57"/>
      <c r="O34" s="58" t="b">
        <f t="shared" si="0"/>
        <v>0</v>
      </c>
      <c r="T34" s="69">
        <v>20</v>
      </c>
      <c r="U34" s="77">
        <f t="shared" si="3"/>
        <v>0</v>
      </c>
      <c r="V34" s="84">
        <v>0</v>
      </c>
      <c r="W34" s="79">
        <f t="shared" si="4"/>
        <v>0</v>
      </c>
      <c r="X34" s="80" t="e">
        <f t="shared" si="2"/>
        <v>#DIV/0!</v>
      </c>
    </row>
    <row r="35" spans="1:24" ht="15" customHeight="1" x14ac:dyDescent="0.25">
      <c r="A35" s="144" t="s">
        <v>78</v>
      </c>
      <c r="B35" s="144"/>
      <c r="C35" s="144"/>
      <c r="M35" s="56"/>
      <c r="N35" s="57"/>
      <c r="O35" s="58" t="b">
        <f t="shared" si="0"/>
        <v>0</v>
      </c>
      <c r="T35" s="69">
        <v>21</v>
      </c>
      <c r="U35" s="77">
        <f t="shared" si="3"/>
        <v>0</v>
      </c>
      <c r="V35" s="84">
        <v>0</v>
      </c>
      <c r="W35" s="79">
        <f t="shared" si="4"/>
        <v>0</v>
      </c>
      <c r="X35" s="80" t="e">
        <f t="shared" si="2"/>
        <v>#DIV/0!</v>
      </c>
    </row>
    <row r="36" spans="1:24" ht="15" x14ac:dyDescent="0.2">
      <c r="A36" s="100" t="s">
        <v>7</v>
      </c>
      <c r="B36" s="52">
        <f>IF($B$10&lt;($B$11-$B$10)/2,0,0.95*$B$10)</f>
        <v>0</v>
      </c>
      <c r="M36" s="56"/>
      <c r="N36" s="57"/>
      <c r="O36" s="58" t="b">
        <f t="shared" si="0"/>
        <v>0</v>
      </c>
      <c r="T36" s="69">
        <v>22</v>
      </c>
      <c r="U36" s="77">
        <f t="shared" si="3"/>
        <v>0</v>
      </c>
      <c r="V36" s="84">
        <v>0</v>
      </c>
      <c r="W36" s="79">
        <f t="shared" si="4"/>
        <v>0</v>
      </c>
      <c r="X36" s="80" t="e">
        <f t="shared" si="2"/>
        <v>#DIV/0!</v>
      </c>
    </row>
    <row r="37" spans="1:24" ht="15.75" x14ac:dyDescent="0.25">
      <c r="A37" s="102" t="s">
        <v>8</v>
      </c>
      <c r="B37" s="52">
        <f>1.05*B11</f>
        <v>0</v>
      </c>
      <c r="D37" s="8"/>
      <c r="E37" s="8"/>
      <c r="M37" s="56"/>
      <c r="N37" s="57"/>
      <c r="O37" s="58" t="b">
        <f t="shared" si="0"/>
        <v>0</v>
      </c>
      <c r="T37" s="69">
        <v>23</v>
      </c>
      <c r="U37" s="77">
        <f t="shared" si="3"/>
        <v>0</v>
      </c>
      <c r="V37" s="84">
        <v>0</v>
      </c>
      <c r="W37" s="79">
        <f t="shared" si="4"/>
        <v>0</v>
      </c>
      <c r="X37" s="80" t="e">
        <f t="shared" si="2"/>
        <v>#DIV/0!</v>
      </c>
    </row>
    <row r="38" spans="1:24" ht="15" x14ac:dyDescent="0.2">
      <c r="A38" s="103" t="s">
        <v>19</v>
      </c>
      <c r="B38" s="53">
        <f>($B$37-$B$36)/25</f>
        <v>0</v>
      </c>
      <c r="M38" s="56"/>
      <c r="N38" s="57"/>
      <c r="O38" s="58" t="b">
        <f t="shared" si="0"/>
        <v>0</v>
      </c>
      <c r="T38" s="69">
        <v>24</v>
      </c>
      <c r="U38" s="77">
        <f t="shared" si="3"/>
        <v>0</v>
      </c>
      <c r="V38" s="84">
        <v>0</v>
      </c>
      <c r="W38" s="79">
        <f t="shared" si="4"/>
        <v>0</v>
      </c>
      <c r="X38" s="80" t="e">
        <f t="shared" si="2"/>
        <v>#DIV/0!</v>
      </c>
    </row>
    <row r="39" spans="1:24" ht="15" x14ac:dyDescent="0.2">
      <c r="M39" s="56"/>
      <c r="N39" s="57"/>
      <c r="O39" s="58" t="b">
        <f t="shared" si="0"/>
        <v>0</v>
      </c>
      <c r="T39" s="69">
        <v>25</v>
      </c>
      <c r="U39" s="77">
        <f t="shared" si="3"/>
        <v>0</v>
      </c>
      <c r="V39" s="84">
        <v>0</v>
      </c>
      <c r="W39" s="79">
        <f t="shared" si="4"/>
        <v>0</v>
      </c>
      <c r="X39" s="80" t="e">
        <f t="shared" si="2"/>
        <v>#DIV/0!</v>
      </c>
    </row>
    <row r="40" spans="1:24" ht="15" x14ac:dyDescent="0.2">
      <c r="M40" s="56"/>
      <c r="N40" s="57"/>
      <c r="O40" s="58" t="b">
        <f t="shared" si="0"/>
        <v>0</v>
      </c>
      <c r="T40" s="11"/>
      <c r="U40" s="77" t="s">
        <v>21</v>
      </c>
      <c r="V40" s="84">
        <v>0</v>
      </c>
      <c r="W40" s="79"/>
      <c r="X40" s="80" t="e">
        <f t="shared" si="2"/>
        <v>#DIV/0!</v>
      </c>
    </row>
    <row r="41" spans="1:24" ht="15" x14ac:dyDescent="0.2">
      <c r="M41" s="56"/>
      <c r="N41" s="57"/>
      <c r="O41" s="58" t="b">
        <f t="shared" si="0"/>
        <v>0</v>
      </c>
    </row>
    <row r="42" spans="1:24" ht="15" x14ac:dyDescent="0.2">
      <c r="M42" s="56"/>
      <c r="N42" s="57"/>
      <c r="O42" s="58" t="b">
        <f t="shared" si="0"/>
        <v>0</v>
      </c>
    </row>
    <row r="43" spans="1:24" ht="15" x14ac:dyDescent="0.2">
      <c r="M43" s="56"/>
      <c r="N43" s="57"/>
      <c r="O43" s="58" t="b">
        <f t="shared" si="0"/>
        <v>0</v>
      </c>
    </row>
    <row r="44" spans="1:24" ht="15" x14ac:dyDescent="0.2">
      <c r="M44" s="56"/>
      <c r="N44" s="57"/>
      <c r="O44" s="58" t="b">
        <f t="shared" si="0"/>
        <v>0</v>
      </c>
      <c r="T44" s="83" t="s">
        <v>13</v>
      </c>
    </row>
    <row r="45" spans="1:24" ht="15" x14ac:dyDescent="0.2">
      <c r="M45" s="56"/>
      <c r="N45" s="57"/>
      <c r="O45" s="58" t="b">
        <f t="shared" si="0"/>
        <v>0</v>
      </c>
      <c r="T45" s="69" t="s">
        <v>26</v>
      </c>
      <c r="U45" s="69" t="s">
        <v>27</v>
      </c>
    </row>
    <row r="46" spans="1:24" ht="15" x14ac:dyDescent="0.2">
      <c r="B46" s="6"/>
      <c r="M46" s="56"/>
      <c r="N46" s="57"/>
      <c r="O46" s="58" t="b">
        <f t="shared" si="0"/>
        <v>0</v>
      </c>
      <c r="T46" s="85">
        <f>$U$14-$B$38/100</f>
        <v>0</v>
      </c>
      <c r="U46" s="28">
        <v>0</v>
      </c>
    </row>
    <row r="47" spans="1:24" ht="15" x14ac:dyDescent="0.2">
      <c r="B47" s="9"/>
      <c r="C47" s="9"/>
      <c r="D47" s="9"/>
      <c r="E47" s="9"/>
      <c r="M47" s="56"/>
      <c r="N47" s="57"/>
      <c r="O47" s="58" t="b">
        <f t="shared" si="0"/>
        <v>0</v>
      </c>
      <c r="T47" s="85">
        <f>$U$14+$B$38/100</f>
        <v>0</v>
      </c>
      <c r="U47" s="28" t="e">
        <f>$X$15</f>
        <v>#DIV/0!</v>
      </c>
    </row>
    <row r="48" spans="1:24" ht="16.149999999999999" customHeight="1" x14ac:dyDescent="0.2">
      <c r="D48" s="9"/>
      <c r="E48" s="9"/>
      <c r="K48" s="11"/>
      <c r="L48" s="12"/>
      <c r="M48" s="56"/>
      <c r="N48" s="57"/>
      <c r="O48" s="58" t="b">
        <f t="shared" si="0"/>
        <v>0</v>
      </c>
      <c r="T48" s="85">
        <f>$U$15-$B$38/100</f>
        <v>0</v>
      </c>
      <c r="U48" s="28" t="e">
        <f>$X$15</f>
        <v>#DIV/0!</v>
      </c>
    </row>
    <row r="49" spans="5:21" ht="15" x14ac:dyDescent="0.2">
      <c r="E49" s="13"/>
      <c r="M49" s="56"/>
      <c r="N49" s="57"/>
      <c r="O49" s="58" t="b">
        <f t="shared" si="0"/>
        <v>0</v>
      </c>
      <c r="T49" s="85">
        <f>$U$15+$B$38/100</f>
        <v>0</v>
      </c>
      <c r="U49" s="28" t="e">
        <f>$X$16</f>
        <v>#DIV/0!</v>
      </c>
    </row>
    <row r="50" spans="5:21" ht="15" x14ac:dyDescent="0.2">
      <c r="E50" s="15"/>
      <c r="M50" s="56"/>
      <c r="N50" s="57"/>
      <c r="O50" s="58" t="b">
        <f t="shared" si="0"/>
        <v>0</v>
      </c>
      <c r="T50" s="85">
        <f>$U$16-$B$38/100</f>
        <v>0</v>
      </c>
      <c r="U50" s="28" t="e">
        <f>$X$16</f>
        <v>#DIV/0!</v>
      </c>
    </row>
    <row r="51" spans="5:21" ht="15" x14ac:dyDescent="0.2">
      <c r="E51" s="15"/>
      <c r="M51" s="56"/>
      <c r="N51" s="57"/>
      <c r="O51" s="58" t="b">
        <f t="shared" si="0"/>
        <v>0</v>
      </c>
      <c r="T51" s="85">
        <f>$U$16+$B$38/100</f>
        <v>0</v>
      </c>
      <c r="U51" s="28" t="e">
        <f>$X$17</f>
        <v>#DIV/0!</v>
      </c>
    </row>
    <row r="52" spans="5:21" ht="15" x14ac:dyDescent="0.2">
      <c r="E52" s="15"/>
      <c r="M52" s="56"/>
      <c r="N52" s="57"/>
      <c r="O52" s="58" t="b">
        <f t="shared" si="0"/>
        <v>0</v>
      </c>
      <c r="T52" s="85">
        <f>$U$17-$B$38/100</f>
        <v>0</v>
      </c>
      <c r="U52" s="28" t="e">
        <f>$X$17</f>
        <v>#DIV/0!</v>
      </c>
    </row>
    <row r="53" spans="5:21" ht="15" x14ac:dyDescent="0.2">
      <c r="E53" s="15"/>
      <c r="F53" s="15"/>
      <c r="G53" s="15"/>
      <c r="M53" s="56"/>
      <c r="N53" s="57"/>
      <c r="O53" s="58" t="b">
        <f t="shared" si="0"/>
        <v>0</v>
      </c>
      <c r="T53" s="85">
        <f>$U$17+$B$38/100</f>
        <v>0</v>
      </c>
      <c r="U53" s="28" t="e">
        <f>$X$18</f>
        <v>#DIV/0!</v>
      </c>
    </row>
    <row r="54" spans="5:21" ht="15" x14ac:dyDescent="0.2">
      <c r="E54" s="15"/>
      <c r="F54" s="15"/>
      <c r="G54" s="15"/>
      <c r="M54" s="56"/>
      <c r="N54" s="57"/>
      <c r="O54" s="58" t="b">
        <f t="shared" si="0"/>
        <v>0</v>
      </c>
      <c r="T54" s="85">
        <f>$U$18-$B$38/100</f>
        <v>0</v>
      </c>
      <c r="U54" s="28" t="e">
        <f>$X$18</f>
        <v>#DIV/0!</v>
      </c>
    </row>
    <row r="55" spans="5:21" ht="15.75" x14ac:dyDescent="0.25">
      <c r="E55" s="68" t="s">
        <v>20</v>
      </c>
      <c r="F55" s="68"/>
      <c r="G55" s="68"/>
      <c r="H55" s="68"/>
      <c r="I55" s="68"/>
      <c r="J55" s="68"/>
      <c r="K55" s="68"/>
      <c r="M55" s="56"/>
      <c r="N55" s="57"/>
      <c r="O55" s="58" t="b">
        <f t="shared" si="0"/>
        <v>0</v>
      </c>
      <c r="T55" s="85">
        <f>$U$18+$B$38/100</f>
        <v>0</v>
      </c>
      <c r="U55" s="28" t="e">
        <f>$X$19</f>
        <v>#DIV/0!</v>
      </c>
    </row>
    <row r="56" spans="5:21" ht="15" x14ac:dyDescent="0.2">
      <c r="E56" s="11"/>
      <c r="F56" s="69" t="s">
        <v>94</v>
      </c>
      <c r="G56" s="69" t="s">
        <v>95</v>
      </c>
      <c r="H56" s="69" t="s">
        <v>96</v>
      </c>
      <c r="I56" s="69" t="s">
        <v>97</v>
      </c>
      <c r="J56" s="69" t="s">
        <v>113</v>
      </c>
      <c r="K56" s="69" t="s">
        <v>114</v>
      </c>
      <c r="M56" s="56"/>
      <c r="N56" s="57"/>
      <c r="O56" s="58" t="b">
        <f t="shared" si="0"/>
        <v>0</v>
      </c>
      <c r="T56" s="85">
        <f>$U$19-$B$38/100</f>
        <v>0</v>
      </c>
      <c r="U56" s="28" t="e">
        <f>$X$19</f>
        <v>#DIV/0!</v>
      </c>
    </row>
    <row r="57" spans="5:21" ht="15" x14ac:dyDescent="0.2">
      <c r="E57" s="70">
        <v>36161</v>
      </c>
      <c r="F57" s="74" t="e">
        <f>$B$21</f>
        <v>#DIV/0!</v>
      </c>
      <c r="G57" s="74" t="e">
        <f>$C$21</f>
        <v>#DIV/0!</v>
      </c>
      <c r="H57" s="74" t="e">
        <f>$B$22</f>
        <v>#DIV/0!</v>
      </c>
      <c r="I57" s="74" t="e">
        <f>$C$22</f>
        <v>#DIV/0!</v>
      </c>
      <c r="J57" s="74" t="e">
        <f>$B$31</f>
        <v>#DIV/0!</v>
      </c>
      <c r="K57" s="74" t="e">
        <f>$B$32</f>
        <v>#DIV/0!</v>
      </c>
      <c r="M57" s="56"/>
      <c r="N57" s="57"/>
      <c r="O57" s="58" t="b">
        <f t="shared" si="0"/>
        <v>0</v>
      </c>
      <c r="T57" s="85">
        <f>$U$19+$B$38/100</f>
        <v>0</v>
      </c>
      <c r="U57" s="28" t="e">
        <f>$X$20</f>
        <v>#DIV/0!</v>
      </c>
    </row>
    <row r="58" spans="5:21" ht="15" x14ac:dyDescent="0.2">
      <c r="E58" s="70">
        <v>44196</v>
      </c>
      <c r="F58" s="74" t="e">
        <f>$B$21</f>
        <v>#DIV/0!</v>
      </c>
      <c r="G58" s="74" t="e">
        <f>$C$21</f>
        <v>#DIV/0!</v>
      </c>
      <c r="H58" s="74" t="e">
        <f>$B$22</f>
        <v>#DIV/0!</v>
      </c>
      <c r="I58" s="74" t="e">
        <f>$C$22</f>
        <v>#DIV/0!</v>
      </c>
      <c r="J58" s="74" t="e">
        <f>$B$31</f>
        <v>#DIV/0!</v>
      </c>
      <c r="K58" s="74" t="e">
        <f>$B$32</f>
        <v>#DIV/0!</v>
      </c>
      <c r="M58" s="56"/>
      <c r="N58" s="57"/>
      <c r="O58" s="58" t="b">
        <f t="shared" si="0"/>
        <v>0</v>
      </c>
      <c r="T58" s="85">
        <f>$U$20-$B$38/100</f>
        <v>0</v>
      </c>
      <c r="U58" s="28" t="e">
        <f>$X$20</f>
        <v>#DIV/0!</v>
      </c>
    </row>
    <row r="59" spans="5:21" ht="15" x14ac:dyDescent="0.2">
      <c r="M59" s="56"/>
      <c r="N59" s="57"/>
      <c r="O59" s="58" t="b">
        <f t="shared" si="0"/>
        <v>0</v>
      </c>
      <c r="T59" s="85">
        <f>$U$20+$B$38/100</f>
        <v>0</v>
      </c>
      <c r="U59" s="28" t="e">
        <f>$X$21</f>
        <v>#DIV/0!</v>
      </c>
    </row>
    <row r="60" spans="5:21" ht="15" x14ac:dyDescent="0.2">
      <c r="M60" s="56"/>
      <c r="N60" s="57"/>
      <c r="O60" s="58" t="b">
        <f t="shared" si="0"/>
        <v>0</v>
      </c>
      <c r="T60" s="85">
        <f>$U$21-$B$38/100</f>
        <v>0</v>
      </c>
      <c r="U60" s="28" t="e">
        <f>$X$21</f>
        <v>#DIV/0!</v>
      </c>
    </row>
    <row r="61" spans="5:21" ht="15.75" x14ac:dyDescent="0.25">
      <c r="E61" s="68" t="s">
        <v>14</v>
      </c>
      <c r="F61" s="68"/>
      <c r="G61" s="68"/>
      <c r="H61" s="71"/>
      <c r="I61" s="71"/>
      <c r="J61" s="71"/>
      <c r="K61" s="11"/>
      <c r="M61" s="56"/>
      <c r="N61" s="57"/>
      <c r="O61" s="58" t="b">
        <f t="shared" si="0"/>
        <v>0</v>
      </c>
      <c r="T61" s="85">
        <f>$U$21+$B$38/100</f>
        <v>0</v>
      </c>
      <c r="U61" s="28" t="e">
        <f>$X$22</f>
        <v>#DIV/0!</v>
      </c>
    </row>
    <row r="62" spans="5:21" ht="15" x14ac:dyDescent="0.2">
      <c r="E62" s="69" t="s">
        <v>2</v>
      </c>
      <c r="F62" s="69" t="s">
        <v>3</v>
      </c>
      <c r="G62" s="69" t="s">
        <v>5</v>
      </c>
      <c r="H62" s="69" t="s">
        <v>4</v>
      </c>
      <c r="I62" s="69" t="s">
        <v>35</v>
      </c>
      <c r="J62" s="69" t="s">
        <v>6</v>
      </c>
      <c r="K62" s="69" t="s">
        <v>15</v>
      </c>
      <c r="M62" s="56"/>
      <c r="N62" s="57"/>
      <c r="O62" s="58" t="b">
        <f t="shared" si="0"/>
        <v>0</v>
      </c>
      <c r="T62" s="85">
        <f>$U$22-$B$38/100</f>
        <v>0</v>
      </c>
      <c r="U62" s="28" t="e">
        <f>$X$22</f>
        <v>#DIV/0!</v>
      </c>
    </row>
    <row r="63" spans="5:21" ht="15" x14ac:dyDescent="0.2">
      <c r="E63" s="72">
        <v>-5</v>
      </c>
      <c r="F63" s="73" t="e">
        <f>$B$16+$E63*$B$17</f>
        <v>#DIV/0!</v>
      </c>
      <c r="G63" s="73" t="e">
        <f>NORMDIST($F63,$B$16,$B$17,FALSE)</f>
        <v>#DIV/0!</v>
      </c>
      <c r="H63" s="73" t="e">
        <f>EXP($R$26+$E63*$R$27)</f>
        <v>#DIV/0!</v>
      </c>
      <c r="I63" s="73" t="e">
        <f t="shared" ref="I63:I113" si="5">H63-$B$26</f>
        <v>#DIV/0!</v>
      </c>
      <c r="J63" s="73" t="e">
        <f>1/$H63/SQRT(2*PI())/$R$27*EXP(-POWER(LN($H63)-$R$26,2)/2/POWER($R$27,2))</f>
        <v>#DIV/0!</v>
      </c>
      <c r="K63" s="73" t="e">
        <f>LOGNORMDIST($H63,$R$26,$R$27)</f>
        <v>#DIV/0!</v>
      </c>
      <c r="M63" s="56"/>
      <c r="N63" s="57"/>
      <c r="O63" s="58" t="b">
        <f t="shared" si="0"/>
        <v>0</v>
      </c>
      <c r="T63" s="85">
        <f>$U$22+$B$38/100</f>
        <v>0</v>
      </c>
      <c r="U63" s="28" t="e">
        <f>$X$23</f>
        <v>#DIV/0!</v>
      </c>
    </row>
    <row r="64" spans="5:21" ht="15" x14ac:dyDescent="0.2">
      <c r="E64" s="72">
        <v>-4.8</v>
      </c>
      <c r="F64" s="73" t="e">
        <f t="shared" ref="F64:F113" si="6">$B$16+$E64*$B$17</f>
        <v>#DIV/0!</v>
      </c>
      <c r="G64" s="73" t="e">
        <f t="shared" ref="G64:G113" si="7">NORMDIST($F64,$B$16,$B$17,FALSE)</f>
        <v>#DIV/0!</v>
      </c>
      <c r="H64" s="73" t="e">
        <f t="shared" ref="H64:H113" si="8">EXP($R$26+$E64*$R$27)</f>
        <v>#DIV/0!</v>
      </c>
      <c r="I64" s="73" t="e">
        <f t="shared" si="5"/>
        <v>#DIV/0!</v>
      </c>
      <c r="J64" s="73" t="e">
        <f t="shared" ref="J64:J113" si="9">1/$H64/SQRT(2*PI())/$R$27*EXP(-POWER(LN($H64)-$R$26,2)/2/POWER($R$27,2))</f>
        <v>#DIV/0!</v>
      </c>
      <c r="K64" s="73" t="e">
        <f t="shared" ref="K64:K113" si="10">LOGNORMDIST($H64,$R$26,$R$27)</f>
        <v>#DIV/0!</v>
      </c>
      <c r="M64" s="56"/>
      <c r="N64" s="57"/>
      <c r="O64" s="58" t="b">
        <f t="shared" si="0"/>
        <v>0</v>
      </c>
      <c r="T64" s="85">
        <f>$U$23-$B$38/100</f>
        <v>0</v>
      </c>
      <c r="U64" s="28" t="e">
        <f>$X$23</f>
        <v>#DIV/0!</v>
      </c>
    </row>
    <row r="65" spans="5:21" ht="15" x14ac:dyDescent="0.2">
      <c r="E65" s="72">
        <v>-4.5999999999999996</v>
      </c>
      <c r="F65" s="73" t="e">
        <f t="shared" si="6"/>
        <v>#DIV/0!</v>
      </c>
      <c r="G65" s="73" t="e">
        <f t="shared" si="7"/>
        <v>#DIV/0!</v>
      </c>
      <c r="H65" s="73" t="e">
        <f t="shared" si="8"/>
        <v>#DIV/0!</v>
      </c>
      <c r="I65" s="73" t="e">
        <f t="shared" si="5"/>
        <v>#DIV/0!</v>
      </c>
      <c r="J65" s="73" t="e">
        <f t="shared" si="9"/>
        <v>#DIV/0!</v>
      </c>
      <c r="K65" s="73" t="e">
        <f t="shared" si="10"/>
        <v>#DIV/0!</v>
      </c>
      <c r="M65" s="56"/>
      <c r="N65" s="57"/>
      <c r="O65" s="58" t="b">
        <f t="shared" si="0"/>
        <v>0</v>
      </c>
      <c r="T65" s="85">
        <f>$U$23+$B$38/100</f>
        <v>0</v>
      </c>
      <c r="U65" s="28" t="e">
        <f>$X$24</f>
        <v>#DIV/0!</v>
      </c>
    </row>
    <row r="66" spans="5:21" ht="15" x14ac:dyDescent="0.2">
      <c r="E66" s="72">
        <v>-4.4000000000000004</v>
      </c>
      <c r="F66" s="73" t="e">
        <f t="shared" si="6"/>
        <v>#DIV/0!</v>
      </c>
      <c r="G66" s="73" t="e">
        <f t="shared" si="7"/>
        <v>#DIV/0!</v>
      </c>
      <c r="H66" s="73" t="e">
        <f t="shared" si="8"/>
        <v>#DIV/0!</v>
      </c>
      <c r="I66" s="73" t="e">
        <f t="shared" si="5"/>
        <v>#DIV/0!</v>
      </c>
      <c r="J66" s="73" t="e">
        <f t="shared" si="9"/>
        <v>#DIV/0!</v>
      </c>
      <c r="K66" s="73" t="e">
        <f t="shared" si="10"/>
        <v>#DIV/0!</v>
      </c>
      <c r="M66" s="56"/>
      <c r="N66" s="57"/>
      <c r="O66" s="58" t="b">
        <f t="shared" si="0"/>
        <v>0</v>
      </c>
      <c r="T66" s="85">
        <f>$U$24-$B$38/100</f>
        <v>0</v>
      </c>
      <c r="U66" s="28" t="e">
        <f>$X$24</f>
        <v>#DIV/0!</v>
      </c>
    </row>
    <row r="67" spans="5:21" ht="15" x14ac:dyDescent="0.2">
      <c r="E67" s="72">
        <v>-4.2</v>
      </c>
      <c r="F67" s="73" t="e">
        <f t="shared" si="6"/>
        <v>#DIV/0!</v>
      </c>
      <c r="G67" s="73" t="e">
        <f t="shared" si="7"/>
        <v>#DIV/0!</v>
      </c>
      <c r="H67" s="73" t="e">
        <f t="shared" si="8"/>
        <v>#DIV/0!</v>
      </c>
      <c r="I67" s="73" t="e">
        <f t="shared" si="5"/>
        <v>#DIV/0!</v>
      </c>
      <c r="J67" s="73" t="e">
        <f t="shared" si="9"/>
        <v>#DIV/0!</v>
      </c>
      <c r="K67" s="73" t="e">
        <f t="shared" si="10"/>
        <v>#DIV/0!</v>
      </c>
      <c r="M67" s="56"/>
      <c r="N67" s="57"/>
      <c r="O67" s="58" t="b">
        <f t="shared" ref="O67:O130" si="11">IF($N67&gt;0,LN($N67+$B$26))</f>
        <v>0</v>
      </c>
      <c r="T67" s="85">
        <f>$U$24+$B$38/100</f>
        <v>0</v>
      </c>
      <c r="U67" s="28" t="e">
        <f>$X$25</f>
        <v>#DIV/0!</v>
      </c>
    </row>
    <row r="68" spans="5:21" ht="15" x14ac:dyDescent="0.2">
      <c r="E68" s="72">
        <v>-4</v>
      </c>
      <c r="F68" s="73" t="e">
        <f t="shared" si="6"/>
        <v>#DIV/0!</v>
      </c>
      <c r="G68" s="73" t="e">
        <f t="shared" si="7"/>
        <v>#DIV/0!</v>
      </c>
      <c r="H68" s="73" t="e">
        <f t="shared" si="8"/>
        <v>#DIV/0!</v>
      </c>
      <c r="I68" s="73" t="e">
        <f t="shared" si="5"/>
        <v>#DIV/0!</v>
      </c>
      <c r="J68" s="73" t="e">
        <f t="shared" si="9"/>
        <v>#DIV/0!</v>
      </c>
      <c r="K68" s="73" t="e">
        <f t="shared" si="10"/>
        <v>#DIV/0!</v>
      </c>
      <c r="M68" s="56"/>
      <c r="N68" s="57"/>
      <c r="O68" s="58" t="b">
        <f t="shared" si="11"/>
        <v>0</v>
      </c>
      <c r="T68" s="85">
        <f>$U$25-$B$38/100</f>
        <v>0</v>
      </c>
      <c r="U68" s="28" t="e">
        <f>$X$25</f>
        <v>#DIV/0!</v>
      </c>
    </row>
    <row r="69" spans="5:21" ht="15" x14ac:dyDescent="0.2">
      <c r="E69" s="72">
        <v>-3.8</v>
      </c>
      <c r="F69" s="73" t="e">
        <f t="shared" si="6"/>
        <v>#DIV/0!</v>
      </c>
      <c r="G69" s="73" t="e">
        <f t="shared" si="7"/>
        <v>#DIV/0!</v>
      </c>
      <c r="H69" s="73" t="e">
        <f t="shared" si="8"/>
        <v>#DIV/0!</v>
      </c>
      <c r="I69" s="73" t="e">
        <f t="shared" si="5"/>
        <v>#DIV/0!</v>
      </c>
      <c r="J69" s="73" t="e">
        <f t="shared" si="9"/>
        <v>#DIV/0!</v>
      </c>
      <c r="K69" s="73" t="e">
        <f t="shared" si="10"/>
        <v>#DIV/0!</v>
      </c>
      <c r="M69" s="56"/>
      <c r="N69" s="57"/>
      <c r="O69" s="58" t="b">
        <f t="shared" si="11"/>
        <v>0</v>
      </c>
      <c r="T69" s="85">
        <f>$U$25+$B$38/100</f>
        <v>0</v>
      </c>
      <c r="U69" s="28" t="e">
        <f>$X$26</f>
        <v>#DIV/0!</v>
      </c>
    </row>
    <row r="70" spans="5:21" ht="15" x14ac:dyDescent="0.2">
      <c r="E70" s="72">
        <v>-3.6</v>
      </c>
      <c r="F70" s="73" t="e">
        <f t="shared" si="6"/>
        <v>#DIV/0!</v>
      </c>
      <c r="G70" s="73" t="e">
        <f t="shared" si="7"/>
        <v>#DIV/0!</v>
      </c>
      <c r="H70" s="73" t="e">
        <f t="shared" si="8"/>
        <v>#DIV/0!</v>
      </c>
      <c r="I70" s="73" t="e">
        <f t="shared" si="5"/>
        <v>#DIV/0!</v>
      </c>
      <c r="J70" s="73" t="e">
        <f t="shared" si="9"/>
        <v>#DIV/0!</v>
      </c>
      <c r="K70" s="73" t="e">
        <f t="shared" si="10"/>
        <v>#DIV/0!</v>
      </c>
      <c r="M70" s="56"/>
      <c r="N70" s="57"/>
      <c r="O70" s="58" t="b">
        <f t="shared" si="11"/>
        <v>0</v>
      </c>
      <c r="T70" s="85">
        <f>$U$26-$B$38/100</f>
        <v>0</v>
      </c>
      <c r="U70" s="28" t="e">
        <f>$X$26</f>
        <v>#DIV/0!</v>
      </c>
    </row>
    <row r="71" spans="5:21" ht="15" x14ac:dyDescent="0.2">
      <c r="E71" s="72">
        <v>-3.4</v>
      </c>
      <c r="F71" s="73" t="e">
        <f t="shared" si="6"/>
        <v>#DIV/0!</v>
      </c>
      <c r="G71" s="73" t="e">
        <f t="shared" si="7"/>
        <v>#DIV/0!</v>
      </c>
      <c r="H71" s="73" t="e">
        <f t="shared" si="8"/>
        <v>#DIV/0!</v>
      </c>
      <c r="I71" s="73" t="e">
        <f t="shared" si="5"/>
        <v>#DIV/0!</v>
      </c>
      <c r="J71" s="73" t="e">
        <f t="shared" si="9"/>
        <v>#DIV/0!</v>
      </c>
      <c r="K71" s="73" t="e">
        <f t="shared" si="10"/>
        <v>#DIV/0!</v>
      </c>
      <c r="M71" s="56"/>
      <c r="N71" s="57"/>
      <c r="O71" s="58" t="b">
        <f t="shared" si="11"/>
        <v>0</v>
      </c>
      <c r="T71" s="85">
        <f>$U$26+$B$38/100</f>
        <v>0</v>
      </c>
      <c r="U71" s="28" t="e">
        <f>$X$27</f>
        <v>#DIV/0!</v>
      </c>
    </row>
    <row r="72" spans="5:21" ht="15" x14ac:dyDescent="0.2">
      <c r="E72" s="72">
        <v>-3.2</v>
      </c>
      <c r="F72" s="73" t="e">
        <f t="shared" si="6"/>
        <v>#DIV/0!</v>
      </c>
      <c r="G72" s="73" t="e">
        <f t="shared" si="7"/>
        <v>#DIV/0!</v>
      </c>
      <c r="H72" s="73" t="e">
        <f t="shared" si="8"/>
        <v>#DIV/0!</v>
      </c>
      <c r="I72" s="73" t="e">
        <f t="shared" si="5"/>
        <v>#DIV/0!</v>
      </c>
      <c r="J72" s="73" t="e">
        <f t="shared" si="9"/>
        <v>#DIV/0!</v>
      </c>
      <c r="K72" s="73" t="e">
        <f t="shared" si="10"/>
        <v>#DIV/0!</v>
      </c>
      <c r="M72" s="56"/>
      <c r="N72" s="57"/>
      <c r="O72" s="58" t="b">
        <f t="shared" si="11"/>
        <v>0</v>
      </c>
      <c r="T72" s="85">
        <f>$U$27-$B$38/100</f>
        <v>0</v>
      </c>
      <c r="U72" s="28" t="e">
        <f>$X$27</f>
        <v>#DIV/0!</v>
      </c>
    </row>
    <row r="73" spans="5:21" ht="15" x14ac:dyDescent="0.2">
      <c r="E73" s="72">
        <v>-3</v>
      </c>
      <c r="F73" s="73" t="e">
        <f t="shared" si="6"/>
        <v>#DIV/0!</v>
      </c>
      <c r="G73" s="73" t="e">
        <f t="shared" si="7"/>
        <v>#DIV/0!</v>
      </c>
      <c r="H73" s="73" t="e">
        <f t="shared" si="8"/>
        <v>#DIV/0!</v>
      </c>
      <c r="I73" s="73" t="e">
        <f t="shared" si="5"/>
        <v>#DIV/0!</v>
      </c>
      <c r="J73" s="73" t="e">
        <f t="shared" si="9"/>
        <v>#DIV/0!</v>
      </c>
      <c r="K73" s="73" t="e">
        <f t="shared" si="10"/>
        <v>#DIV/0!</v>
      </c>
      <c r="M73" s="56"/>
      <c r="N73" s="57"/>
      <c r="O73" s="58" t="b">
        <f t="shared" si="11"/>
        <v>0</v>
      </c>
      <c r="T73" s="85">
        <f>$U$27+$B$38/100</f>
        <v>0</v>
      </c>
      <c r="U73" s="28" t="e">
        <f>$X$28</f>
        <v>#DIV/0!</v>
      </c>
    </row>
    <row r="74" spans="5:21" ht="15" x14ac:dyDescent="0.2">
      <c r="E74" s="72">
        <v>-2.8</v>
      </c>
      <c r="F74" s="73" t="e">
        <f t="shared" si="6"/>
        <v>#DIV/0!</v>
      </c>
      <c r="G74" s="73" t="e">
        <f t="shared" si="7"/>
        <v>#DIV/0!</v>
      </c>
      <c r="H74" s="73" t="e">
        <f t="shared" si="8"/>
        <v>#DIV/0!</v>
      </c>
      <c r="I74" s="73" t="e">
        <f t="shared" si="5"/>
        <v>#DIV/0!</v>
      </c>
      <c r="J74" s="73" t="e">
        <f t="shared" si="9"/>
        <v>#DIV/0!</v>
      </c>
      <c r="K74" s="73" t="e">
        <f t="shared" si="10"/>
        <v>#DIV/0!</v>
      </c>
      <c r="M74" s="56"/>
      <c r="N74" s="57"/>
      <c r="O74" s="58" t="b">
        <f t="shared" si="11"/>
        <v>0</v>
      </c>
      <c r="T74" s="85">
        <f>$U$28-$B$38/100</f>
        <v>0</v>
      </c>
      <c r="U74" s="28" t="e">
        <f>$X$28</f>
        <v>#DIV/0!</v>
      </c>
    </row>
    <row r="75" spans="5:21" ht="15" x14ac:dyDescent="0.2">
      <c r="E75" s="72">
        <v>-2.6</v>
      </c>
      <c r="F75" s="73" t="e">
        <f t="shared" si="6"/>
        <v>#DIV/0!</v>
      </c>
      <c r="G75" s="73" t="e">
        <f t="shared" si="7"/>
        <v>#DIV/0!</v>
      </c>
      <c r="H75" s="73" t="e">
        <f t="shared" si="8"/>
        <v>#DIV/0!</v>
      </c>
      <c r="I75" s="73" t="e">
        <f t="shared" si="5"/>
        <v>#DIV/0!</v>
      </c>
      <c r="J75" s="73" t="e">
        <f t="shared" si="9"/>
        <v>#DIV/0!</v>
      </c>
      <c r="K75" s="73" t="e">
        <f t="shared" si="10"/>
        <v>#DIV/0!</v>
      </c>
      <c r="M75" s="56"/>
      <c r="N75" s="57"/>
      <c r="O75" s="58" t="b">
        <f t="shared" si="11"/>
        <v>0</v>
      </c>
      <c r="T75" s="85">
        <f>$U$28+$B$38/100</f>
        <v>0</v>
      </c>
      <c r="U75" s="28" t="e">
        <f>$X$29</f>
        <v>#DIV/0!</v>
      </c>
    </row>
    <row r="76" spans="5:21" ht="15" x14ac:dyDescent="0.2">
      <c r="E76" s="72">
        <v>-2.4</v>
      </c>
      <c r="F76" s="73" t="e">
        <f t="shared" si="6"/>
        <v>#DIV/0!</v>
      </c>
      <c r="G76" s="73" t="e">
        <f t="shared" si="7"/>
        <v>#DIV/0!</v>
      </c>
      <c r="H76" s="73" t="e">
        <f t="shared" si="8"/>
        <v>#DIV/0!</v>
      </c>
      <c r="I76" s="73" t="e">
        <f t="shared" si="5"/>
        <v>#DIV/0!</v>
      </c>
      <c r="J76" s="73" t="e">
        <f t="shared" si="9"/>
        <v>#DIV/0!</v>
      </c>
      <c r="K76" s="73" t="e">
        <f t="shared" si="10"/>
        <v>#DIV/0!</v>
      </c>
      <c r="M76" s="56"/>
      <c r="N76" s="57"/>
      <c r="O76" s="58" t="b">
        <f t="shared" si="11"/>
        <v>0</v>
      </c>
      <c r="T76" s="85">
        <f>$U$29-$B$38/100</f>
        <v>0</v>
      </c>
      <c r="U76" s="28" t="e">
        <f>$X$29</f>
        <v>#DIV/0!</v>
      </c>
    </row>
    <row r="77" spans="5:21" ht="15" x14ac:dyDescent="0.2">
      <c r="E77" s="72">
        <v>-2.2000000000000002</v>
      </c>
      <c r="F77" s="73" t="e">
        <f t="shared" si="6"/>
        <v>#DIV/0!</v>
      </c>
      <c r="G77" s="73" t="e">
        <f t="shared" si="7"/>
        <v>#DIV/0!</v>
      </c>
      <c r="H77" s="73" t="e">
        <f t="shared" si="8"/>
        <v>#DIV/0!</v>
      </c>
      <c r="I77" s="73" t="e">
        <f t="shared" si="5"/>
        <v>#DIV/0!</v>
      </c>
      <c r="J77" s="73" t="e">
        <f t="shared" si="9"/>
        <v>#DIV/0!</v>
      </c>
      <c r="K77" s="73" t="e">
        <f t="shared" si="10"/>
        <v>#DIV/0!</v>
      </c>
      <c r="L77" s="16"/>
      <c r="M77" s="56"/>
      <c r="N77" s="57"/>
      <c r="O77" s="58" t="b">
        <f t="shared" si="11"/>
        <v>0</v>
      </c>
      <c r="T77" s="85">
        <f>$U$29+$B$38/100</f>
        <v>0</v>
      </c>
      <c r="U77" s="28" t="e">
        <f>$X$30</f>
        <v>#DIV/0!</v>
      </c>
    </row>
    <row r="78" spans="5:21" ht="15" x14ac:dyDescent="0.2">
      <c r="E78" s="72">
        <v>-2</v>
      </c>
      <c r="F78" s="73" t="e">
        <f t="shared" si="6"/>
        <v>#DIV/0!</v>
      </c>
      <c r="G78" s="73" t="e">
        <f t="shared" si="7"/>
        <v>#DIV/0!</v>
      </c>
      <c r="H78" s="73" t="e">
        <f t="shared" si="8"/>
        <v>#DIV/0!</v>
      </c>
      <c r="I78" s="73" t="e">
        <f t="shared" si="5"/>
        <v>#DIV/0!</v>
      </c>
      <c r="J78" s="73" t="e">
        <f t="shared" si="9"/>
        <v>#DIV/0!</v>
      </c>
      <c r="K78" s="73" t="e">
        <f t="shared" si="10"/>
        <v>#DIV/0!</v>
      </c>
      <c r="L78" s="16"/>
      <c r="M78" s="56"/>
      <c r="N78" s="57"/>
      <c r="O78" s="58" t="b">
        <f t="shared" si="11"/>
        <v>0</v>
      </c>
      <c r="T78" s="85">
        <f>$U$30-$B$38/100</f>
        <v>0</v>
      </c>
      <c r="U78" s="28" t="e">
        <f>$X$30</f>
        <v>#DIV/0!</v>
      </c>
    </row>
    <row r="79" spans="5:21" ht="15" x14ac:dyDescent="0.2">
      <c r="E79" s="72">
        <v>-1.8</v>
      </c>
      <c r="F79" s="73" t="e">
        <f t="shared" si="6"/>
        <v>#DIV/0!</v>
      </c>
      <c r="G79" s="73" t="e">
        <f t="shared" si="7"/>
        <v>#DIV/0!</v>
      </c>
      <c r="H79" s="73" t="e">
        <f t="shared" si="8"/>
        <v>#DIV/0!</v>
      </c>
      <c r="I79" s="73" t="e">
        <f t="shared" si="5"/>
        <v>#DIV/0!</v>
      </c>
      <c r="J79" s="73" t="e">
        <f t="shared" si="9"/>
        <v>#DIV/0!</v>
      </c>
      <c r="K79" s="73" t="e">
        <f t="shared" si="10"/>
        <v>#DIV/0!</v>
      </c>
      <c r="L79" s="16"/>
      <c r="M79" s="56"/>
      <c r="N79" s="57"/>
      <c r="O79" s="58" t="b">
        <f t="shared" si="11"/>
        <v>0</v>
      </c>
      <c r="T79" s="85">
        <f>$U$30+$B$38/100</f>
        <v>0</v>
      </c>
      <c r="U79" s="28" t="e">
        <f>$X$31</f>
        <v>#DIV/0!</v>
      </c>
    </row>
    <row r="80" spans="5:21" ht="15" x14ac:dyDescent="0.2">
      <c r="E80" s="72">
        <v>-1.6</v>
      </c>
      <c r="F80" s="73" t="e">
        <f t="shared" si="6"/>
        <v>#DIV/0!</v>
      </c>
      <c r="G80" s="73" t="e">
        <f t="shared" si="7"/>
        <v>#DIV/0!</v>
      </c>
      <c r="H80" s="73" t="e">
        <f t="shared" si="8"/>
        <v>#DIV/0!</v>
      </c>
      <c r="I80" s="73" t="e">
        <f t="shared" si="5"/>
        <v>#DIV/0!</v>
      </c>
      <c r="J80" s="73" t="e">
        <f t="shared" si="9"/>
        <v>#DIV/0!</v>
      </c>
      <c r="K80" s="73" t="e">
        <f t="shared" si="10"/>
        <v>#DIV/0!</v>
      </c>
      <c r="L80" s="16"/>
      <c r="M80" s="56"/>
      <c r="N80" s="57"/>
      <c r="O80" s="58" t="b">
        <f t="shared" si="11"/>
        <v>0</v>
      </c>
      <c r="T80" s="85">
        <f>$U$31-$B$38/100</f>
        <v>0</v>
      </c>
      <c r="U80" s="28" t="e">
        <f>$X$31</f>
        <v>#DIV/0!</v>
      </c>
    </row>
    <row r="81" spans="5:21" ht="15" x14ac:dyDescent="0.2">
      <c r="E81" s="72">
        <v>-1.4</v>
      </c>
      <c r="F81" s="73" t="e">
        <f t="shared" si="6"/>
        <v>#DIV/0!</v>
      </c>
      <c r="G81" s="73" t="e">
        <f t="shared" si="7"/>
        <v>#DIV/0!</v>
      </c>
      <c r="H81" s="73" t="e">
        <f t="shared" si="8"/>
        <v>#DIV/0!</v>
      </c>
      <c r="I81" s="73" t="e">
        <f t="shared" si="5"/>
        <v>#DIV/0!</v>
      </c>
      <c r="J81" s="73" t="e">
        <f t="shared" si="9"/>
        <v>#DIV/0!</v>
      </c>
      <c r="K81" s="73" t="e">
        <f t="shared" si="10"/>
        <v>#DIV/0!</v>
      </c>
      <c r="L81" s="14"/>
      <c r="M81" s="56"/>
      <c r="N81" s="57"/>
      <c r="O81" s="58" t="b">
        <f t="shared" si="11"/>
        <v>0</v>
      </c>
      <c r="T81" s="85">
        <f>$U$31+$B$38/100</f>
        <v>0</v>
      </c>
      <c r="U81" s="28" t="e">
        <f>$X$32</f>
        <v>#DIV/0!</v>
      </c>
    </row>
    <row r="82" spans="5:21" ht="15" x14ac:dyDescent="0.2">
      <c r="E82" s="72">
        <v>-1.2</v>
      </c>
      <c r="F82" s="73" t="e">
        <f t="shared" si="6"/>
        <v>#DIV/0!</v>
      </c>
      <c r="G82" s="73" t="e">
        <f t="shared" si="7"/>
        <v>#DIV/0!</v>
      </c>
      <c r="H82" s="73" t="e">
        <f t="shared" si="8"/>
        <v>#DIV/0!</v>
      </c>
      <c r="I82" s="73" t="e">
        <f t="shared" si="5"/>
        <v>#DIV/0!</v>
      </c>
      <c r="J82" s="73" t="e">
        <f t="shared" si="9"/>
        <v>#DIV/0!</v>
      </c>
      <c r="K82" s="73" t="e">
        <f t="shared" si="10"/>
        <v>#DIV/0!</v>
      </c>
      <c r="L82" s="14"/>
      <c r="M82" s="56"/>
      <c r="N82" s="57"/>
      <c r="O82" s="58" t="b">
        <f t="shared" si="11"/>
        <v>0</v>
      </c>
      <c r="T82" s="85">
        <f>$U$32-$B$38/100</f>
        <v>0</v>
      </c>
      <c r="U82" s="28" t="e">
        <f>$X$32</f>
        <v>#DIV/0!</v>
      </c>
    </row>
    <row r="83" spans="5:21" ht="15" x14ac:dyDescent="0.2">
      <c r="E83" s="72">
        <v>-1</v>
      </c>
      <c r="F83" s="73" t="e">
        <f t="shared" si="6"/>
        <v>#DIV/0!</v>
      </c>
      <c r="G83" s="73" t="e">
        <f t="shared" si="7"/>
        <v>#DIV/0!</v>
      </c>
      <c r="H83" s="73" t="e">
        <f t="shared" si="8"/>
        <v>#DIV/0!</v>
      </c>
      <c r="I83" s="73" t="e">
        <f t="shared" si="5"/>
        <v>#DIV/0!</v>
      </c>
      <c r="J83" s="73" t="e">
        <f t="shared" si="9"/>
        <v>#DIV/0!</v>
      </c>
      <c r="K83" s="73" t="e">
        <f t="shared" si="10"/>
        <v>#DIV/0!</v>
      </c>
      <c r="L83" s="14"/>
      <c r="M83" s="56"/>
      <c r="N83" s="57"/>
      <c r="O83" s="58" t="b">
        <f t="shared" si="11"/>
        <v>0</v>
      </c>
      <c r="T83" s="85">
        <f>$U$32+$B$38/100</f>
        <v>0</v>
      </c>
      <c r="U83" s="28" t="e">
        <f>$X$33</f>
        <v>#DIV/0!</v>
      </c>
    </row>
    <row r="84" spans="5:21" ht="15" x14ac:dyDescent="0.2">
      <c r="E84" s="72">
        <v>-0.8</v>
      </c>
      <c r="F84" s="73" t="e">
        <f t="shared" si="6"/>
        <v>#DIV/0!</v>
      </c>
      <c r="G84" s="73" t="e">
        <f t="shared" si="7"/>
        <v>#DIV/0!</v>
      </c>
      <c r="H84" s="73" t="e">
        <f t="shared" si="8"/>
        <v>#DIV/0!</v>
      </c>
      <c r="I84" s="73" t="e">
        <f t="shared" si="5"/>
        <v>#DIV/0!</v>
      </c>
      <c r="J84" s="73" t="e">
        <f t="shared" si="9"/>
        <v>#DIV/0!</v>
      </c>
      <c r="K84" s="73" t="e">
        <f t="shared" si="10"/>
        <v>#DIV/0!</v>
      </c>
      <c r="M84" s="56"/>
      <c r="N84" s="57"/>
      <c r="O84" s="58" t="b">
        <f t="shared" si="11"/>
        <v>0</v>
      </c>
      <c r="T84" s="85">
        <f>$U$33-$B$38/100</f>
        <v>0</v>
      </c>
      <c r="U84" s="28" t="e">
        <f>$X$33</f>
        <v>#DIV/0!</v>
      </c>
    </row>
    <row r="85" spans="5:21" ht="15" x14ac:dyDescent="0.2">
      <c r="E85" s="72">
        <v>-0.6</v>
      </c>
      <c r="F85" s="73" t="e">
        <f t="shared" si="6"/>
        <v>#DIV/0!</v>
      </c>
      <c r="G85" s="73" t="e">
        <f t="shared" si="7"/>
        <v>#DIV/0!</v>
      </c>
      <c r="H85" s="73" t="e">
        <f t="shared" si="8"/>
        <v>#DIV/0!</v>
      </c>
      <c r="I85" s="73" t="e">
        <f t="shared" si="5"/>
        <v>#DIV/0!</v>
      </c>
      <c r="J85" s="73" t="e">
        <f t="shared" si="9"/>
        <v>#DIV/0!</v>
      </c>
      <c r="K85" s="73" t="e">
        <f t="shared" si="10"/>
        <v>#DIV/0!</v>
      </c>
      <c r="M85" s="56"/>
      <c r="N85" s="57"/>
      <c r="O85" s="58" t="b">
        <f t="shared" si="11"/>
        <v>0</v>
      </c>
      <c r="T85" s="85">
        <f>$U$33+$B$38/100</f>
        <v>0</v>
      </c>
      <c r="U85" s="28" t="e">
        <f>$X$34</f>
        <v>#DIV/0!</v>
      </c>
    </row>
    <row r="86" spans="5:21" ht="15" x14ac:dyDescent="0.2">
      <c r="E86" s="72">
        <v>-0.4</v>
      </c>
      <c r="F86" s="73" t="e">
        <f t="shared" si="6"/>
        <v>#DIV/0!</v>
      </c>
      <c r="G86" s="73" t="e">
        <f t="shared" si="7"/>
        <v>#DIV/0!</v>
      </c>
      <c r="H86" s="73" t="e">
        <f t="shared" si="8"/>
        <v>#DIV/0!</v>
      </c>
      <c r="I86" s="73" t="e">
        <f t="shared" si="5"/>
        <v>#DIV/0!</v>
      </c>
      <c r="J86" s="73" t="e">
        <f t="shared" si="9"/>
        <v>#DIV/0!</v>
      </c>
      <c r="K86" s="73" t="e">
        <f t="shared" si="10"/>
        <v>#DIV/0!</v>
      </c>
      <c r="M86" s="56"/>
      <c r="N86" s="57"/>
      <c r="O86" s="58" t="b">
        <f t="shared" si="11"/>
        <v>0</v>
      </c>
      <c r="T86" s="85">
        <f>$U$34-$B$38/100</f>
        <v>0</v>
      </c>
      <c r="U86" s="28" t="e">
        <f>$X$34</f>
        <v>#DIV/0!</v>
      </c>
    </row>
    <row r="87" spans="5:21" ht="15" x14ac:dyDescent="0.2">
      <c r="E87" s="72">
        <v>-0.2</v>
      </c>
      <c r="F87" s="73" t="e">
        <f t="shared" si="6"/>
        <v>#DIV/0!</v>
      </c>
      <c r="G87" s="73" t="e">
        <f t="shared" si="7"/>
        <v>#DIV/0!</v>
      </c>
      <c r="H87" s="73" t="e">
        <f t="shared" si="8"/>
        <v>#DIV/0!</v>
      </c>
      <c r="I87" s="73" t="e">
        <f t="shared" si="5"/>
        <v>#DIV/0!</v>
      </c>
      <c r="J87" s="73" t="e">
        <f t="shared" si="9"/>
        <v>#DIV/0!</v>
      </c>
      <c r="K87" s="73" t="e">
        <f t="shared" si="10"/>
        <v>#DIV/0!</v>
      </c>
      <c r="M87" s="56"/>
      <c r="N87" s="57"/>
      <c r="O87" s="58" t="b">
        <f t="shared" si="11"/>
        <v>0</v>
      </c>
      <c r="T87" s="85">
        <f>$U$34+$B$38/100</f>
        <v>0</v>
      </c>
      <c r="U87" s="28" t="e">
        <f>$X$35</f>
        <v>#DIV/0!</v>
      </c>
    </row>
    <row r="88" spans="5:21" ht="15" x14ac:dyDescent="0.2">
      <c r="E88" s="72">
        <v>0</v>
      </c>
      <c r="F88" s="73" t="e">
        <f t="shared" si="6"/>
        <v>#DIV/0!</v>
      </c>
      <c r="G88" s="73" t="e">
        <f t="shared" si="7"/>
        <v>#DIV/0!</v>
      </c>
      <c r="H88" s="73" t="e">
        <f t="shared" si="8"/>
        <v>#DIV/0!</v>
      </c>
      <c r="I88" s="73" t="e">
        <f t="shared" si="5"/>
        <v>#DIV/0!</v>
      </c>
      <c r="J88" s="73" t="e">
        <f t="shared" si="9"/>
        <v>#DIV/0!</v>
      </c>
      <c r="K88" s="73" t="e">
        <f t="shared" si="10"/>
        <v>#DIV/0!</v>
      </c>
      <c r="M88" s="56"/>
      <c r="N88" s="57"/>
      <c r="O88" s="58" t="b">
        <f t="shared" si="11"/>
        <v>0</v>
      </c>
      <c r="T88" s="85">
        <f>$U$35-$B$38/100</f>
        <v>0</v>
      </c>
      <c r="U88" s="28" t="e">
        <f>$X$35</f>
        <v>#DIV/0!</v>
      </c>
    </row>
    <row r="89" spans="5:21" ht="15" x14ac:dyDescent="0.2">
      <c r="E89" s="72">
        <v>0.2</v>
      </c>
      <c r="F89" s="73" t="e">
        <f t="shared" si="6"/>
        <v>#DIV/0!</v>
      </c>
      <c r="G89" s="73" t="e">
        <f t="shared" si="7"/>
        <v>#DIV/0!</v>
      </c>
      <c r="H89" s="73" t="e">
        <f t="shared" si="8"/>
        <v>#DIV/0!</v>
      </c>
      <c r="I89" s="73" t="e">
        <f t="shared" si="5"/>
        <v>#DIV/0!</v>
      </c>
      <c r="J89" s="73" t="e">
        <f t="shared" si="9"/>
        <v>#DIV/0!</v>
      </c>
      <c r="K89" s="73" t="e">
        <f t="shared" si="10"/>
        <v>#DIV/0!</v>
      </c>
      <c r="M89" s="56"/>
      <c r="N89" s="57"/>
      <c r="O89" s="58" t="b">
        <f t="shared" si="11"/>
        <v>0</v>
      </c>
      <c r="T89" s="85">
        <f>$U$35+$B$38/100</f>
        <v>0</v>
      </c>
      <c r="U89" s="28" t="e">
        <f>$X$36</f>
        <v>#DIV/0!</v>
      </c>
    </row>
    <row r="90" spans="5:21" ht="15" x14ac:dyDescent="0.2">
      <c r="E90" s="72">
        <v>0.4</v>
      </c>
      <c r="F90" s="73" t="e">
        <f t="shared" si="6"/>
        <v>#DIV/0!</v>
      </c>
      <c r="G90" s="73" t="e">
        <f t="shared" si="7"/>
        <v>#DIV/0!</v>
      </c>
      <c r="H90" s="73" t="e">
        <f t="shared" si="8"/>
        <v>#DIV/0!</v>
      </c>
      <c r="I90" s="73" t="e">
        <f t="shared" si="5"/>
        <v>#DIV/0!</v>
      </c>
      <c r="J90" s="73" t="e">
        <f t="shared" si="9"/>
        <v>#DIV/0!</v>
      </c>
      <c r="K90" s="73" t="e">
        <f t="shared" si="10"/>
        <v>#DIV/0!</v>
      </c>
      <c r="M90" s="56"/>
      <c r="N90" s="57"/>
      <c r="O90" s="58" t="b">
        <f t="shared" si="11"/>
        <v>0</v>
      </c>
      <c r="T90" s="85">
        <f>$U$36-$B$38/100</f>
        <v>0</v>
      </c>
      <c r="U90" s="28" t="e">
        <f>$X$36</f>
        <v>#DIV/0!</v>
      </c>
    </row>
    <row r="91" spans="5:21" ht="15" x14ac:dyDescent="0.2">
      <c r="E91" s="72">
        <v>0.6</v>
      </c>
      <c r="F91" s="73" t="e">
        <f t="shared" si="6"/>
        <v>#DIV/0!</v>
      </c>
      <c r="G91" s="73" t="e">
        <f t="shared" si="7"/>
        <v>#DIV/0!</v>
      </c>
      <c r="H91" s="73" t="e">
        <f t="shared" si="8"/>
        <v>#DIV/0!</v>
      </c>
      <c r="I91" s="73" t="e">
        <f t="shared" si="5"/>
        <v>#DIV/0!</v>
      </c>
      <c r="J91" s="73" t="e">
        <f t="shared" si="9"/>
        <v>#DIV/0!</v>
      </c>
      <c r="K91" s="73" t="e">
        <f t="shared" si="10"/>
        <v>#DIV/0!</v>
      </c>
      <c r="M91" s="56"/>
      <c r="N91" s="57"/>
      <c r="O91" s="58" t="b">
        <f t="shared" si="11"/>
        <v>0</v>
      </c>
      <c r="T91" s="85">
        <f>$U$36+$B$38/100</f>
        <v>0</v>
      </c>
      <c r="U91" s="28" t="e">
        <f>$X$37</f>
        <v>#DIV/0!</v>
      </c>
    </row>
    <row r="92" spans="5:21" ht="15" x14ac:dyDescent="0.2">
      <c r="E92" s="72">
        <v>0.80000000000001004</v>
      </c>
      <c r="F92" s="73" t="e">
        <f t="shared" si="6"/>
        <v>#DIV/0!</v>
      </c>
      <c r="G92" s="73" t="e">
        <f t="shared" si="7"/>
        <v>#DIV/0!</v>
      </c>
      <c r="H92" s="73" t="e">
        <f t="shared" si="8"/>
        <v>#DIV/0!</v>
      </c>
      <c r="I92" s="73" t="e">
        <f t="shared" si="5"/>
        <v>#DIV/0!</v>
      </c>
      <c r="J92" s="73" t="e">
        <f t="shared" si="9"/>
        <v>#DIV/0!</v>
      </c>
      <c r="K92" s="73" t="e">
        <f t="shared" si="10"/>
        <v>#DIV/0!</v>
      </c>
      <c r="M92" s="56"/>
      <c r="N92" s="57"/>
      <c r="O92" s="58" t="b">
        <f t="shared" si="11"/>
        <v>0</v>
      </c>
      <c r="T92" s="85">
        <f>$U$37-$B$38/100</f>
        <v>0</v>
      </c>
      <c r="U92" s="28" t="e">
        <f>$X$37</f>
        <v>#DIV/0!</v>
      </c>
    </row>
    <row r="93" spans="5:21" ht="15" x14ac:dyDescent="0.2">
      <c r="E93" s="72">
        <v>1.00000000000001</v>
      </c>
      <c r="F93" s="73" t="e">
        <f t="shared" si="6"/>
        <v>#DIV/0!</v>
      </c>
      <c r="G93" s="73" t="e">
        <f t="shared" si="7"/>
        <v>#DIV/0!</v>
      </c>
      <c r="H93" s="73" t="e">
        <f t="shared" si="8"/>
        <v>#DIV/0!</v>
      </c>
      <c r="I93" s="73" t="e">
        <f t="shared" si="5"/>
        <v>#DIV/0!</v>
      </c>
      <c r="J93" s="73" t="e">
        <f t="shared" si="9"/>
        <v>#DIV/0!</v>
      </c>
      <c r="K93" s="73" t="e">
        <f t="shared" si="10"/>
        <v>#DIV/0!</v>
      </c>
      <c r="M93" s="56"/>
      <c r="N93" s="57"/>
      <c r="O93" s="58" t="b">
        <f t="shared" si="11"/>
        <v>0</v>
      </c>
      <c r="T93" s="85">
        <f>$U$37+$B$38/100</f>
        <v>0</v>
      </c>
      <c r="U93" s="28" t="e">
        <f>$X$38</f>
        <v>#DIV/0!</v>
      </c>
    </row>
    <row r="94" spans="5:21" ht="15" x14ac:dyDescent="0.2">
      <c r="E94" s="72">
        <v>1.2000000000000099</v>
      </c>
      <c r="F94" s="73" t="e">
        <f t="shared" si="6"/>
        <v>#DIV/0!</v>
      </c>
      <c r="G94" s="73" t="e">
        <f t="shared" si="7"/>
        <v>#DIV/0!</v>
      </c>
      <c r="H94" s="73" t="e">
        <f t="shared" si="8"/>
        <v>#DIV/0!</v>
      </c>
      <c r="I94" s="73" t="e">
        <f t="shared" si="5"/>
        <v>#DIV/0!</v>
      </c>
      <c r="J94" s="73" t="e">
        <f t="shared" si="9"/>
        <v>#DIV/0!</v>
      </c>
      <c r="K94" s="73" t="e">
        <f t="shared" si="10"/>
        <v>#DIV/0!</v>
      </c>
      <c r="M94" s="56"/>
      <c r="N94" s="57"/>
      <c r="O94" s="58" t="b">
        <f t="shared" si="11"/>
        <v>0</v>
      </c>
      <c r="T94" s="85">
        <f>$U$38-$B$38/100</f>
        <v>0</v>
      </c>
      <c r="U94" s="28" t="e">
        <f>$X$38</f>
        <v>#DIV/0!</v>
      </c>
    </row>
    <row r="95" spans="5:21" ht="15" x14ac:dyDescent="0.2">
      <c r="E95" s="72">
        <v>1.4000000000000099</v>
      </c>
      <c r="F95" s="73" t="e">
        <f t="shared" si="6"/>
        <v>#DIV/0!</v>
      </c>
      <c r="G95" s="73" t="e">
        <f t="shared" si="7"/>
        <v>#DIV/0!</v>
      </c>
      <c r="H95" s="73" t="e">
        <f t="shared" si="8"/>
        <v>#DIV/0!</v>
      </c>
      <c r="I95" s="73" t="e">
        <f t="shared" si="5"/>
        <v>#DIV/0!</v>
      </c>
      <c r="J95" s="73" t="e">
        <f t="shared" si="9"/>
        <v>#DIV/0!</v>
      </c>
      <c r="K95" s="73" t="e">
        <f t="shared" si="10"/>
        <v>#DIV/0!</v>
      </c>
      <c r="M95" s="56"/>
      <c r="N95" s="57"/>
      <c r="O95" s="58" t="b">
        <f t="shared" si="11"/>
        <v>0</v>
      </c>
      <c r="T95" s="85">
        <f>$U$38+$B$38/100</f>
        <v>0</v>
      </c>
      <c r="U95" s="28" t="e">
        <f>$X$39</f>
        <v>#DIV/0!</v>
      </c>
    </row>
    <row r="96" spans="5:21" ht="15" x14ac:dyDescent="0.2">
      <c r="E96" s="72">
        <v>1.6000000000000101</v>
      </c>
      <c r="F96" s="73" t="e">
        <f t="shared" si="6"/>
        <v>#DIV/0!</v>
      </c>
      <c r="G96" s="73" t="e">
        <f t="shared" si="7"/>
        <v>#DIV/0!</v>
      </c>
      <c r="H96" s="73" t="e">
        <f t="shared" si="8"/>
        <v>#DIV/0!</v>
      </c>
      <c r="I96" s="73" t="e">
        <f t="shared" si="5"/>
        <v>#DIV/0!</v>
      </c>
      <c r="J96" s="73" t="e">
        <f t="shared" si="9"/>
        <v>#DIV/0!</v>
      </c>
      <c r="K96" s="73" t="e">
        <f t="shared" si="10"/>
        <v>#DIV/0!</v>
      </c>
      <c r="M96" s="56"/>
      <c r="N96" s="57"/>
      <c r="O96" s="58" t="b">
        <f t="shared" si="11"/>
        <v>0</v>
      </c>
      <c r="T96" s="85">
        <f>$U$39-$B$38/100</f>
        <v>0</v>
      </c>
      <c r="U96" s="28" t="e">
        <f>$X$39</f>
        <v>#DIV/0!</v>
      </c>
    </row>
    <row r="97" spans="5:21" ht="15" x14ac:dyDescent="0.2">
      <c r="E97" s="72">
        <v>1.80000000000001</v>
      </c>
      <c r="F97" s="73" t="e">
        <f t="shared" si="6"/>
        <v>#DIV/0!</v>
      </c>
      <c r="G97" s="73" t="e">
        <f t="shared" si="7"/>
        <v>#DIV/0!</v>
      </c>
      <c r="H97" s="73" t="e">
        <f t="shared" si="8"/>
        <v>#DIV/0!</v>
      </c>
      <c r="I97" s="73" t="e">
        <f t="shared" si="5"/>
        <v>#DIV/0!</v>
      </c>
      <c r="J97" s="73" t="e">
        <f t="shared" si="9"/>
        <v>#DIV/0!</v>
      </c>
      <c r="K97" s="73" t="e">
        <f t="shared" si="10"/>
        <v>#DIV/0!</v>
      </c>
      <c r="M97" s="56"/>
      <c r="N97" s="57"/>
      <c r="O97" s="58" t="b">
        <f t="shared" si="11"/>
        <v>0</v>
      </c>
      <c r="T97" s="85">
        <f>$U$39+$B$38/100</f>
        <v>0</v>
      </c>
      <c r="U97" s="28" t="e">
        <f>$X$40</f>
        <v>#DIV/0!</v>
      </c>
    </row>
    <row r="98" spans="5:21" ht="15" x14ac:dyDescent="0.2">
      <c r="E98" s="72">
        <v>2.0000000000000102</v>
      </c>
      <c r="F98" s="73" t="e">
        <f t="shared" si="6"/>
        <v>#DIV/0!</v>
      </c>
      <c r="G98" s="73" t="e">
        <f t="shared" si="7"/>
        <v>#DIV/0!</v>
      </c>
      <c r="H98" s="73" t="e">
        <f t="shared" si="8"/>
        <v>#DIV/0!</v>
      </c>
      <c r="I98" s="73" t="e">
        <f t="shared" si="5"/>
        <v>#DIV/0!</v>
      </c>
      <c r="J98" s="73" t="e">
        <f t="shared" si="9"/>
        <v>#DIV/0!</v>
      </c>
      <c r="K98" s="73" t="e">
        <f t="shared" si="10"/>
        <v>#DIV/0!</v>
      </c>
      <c r="M98" s="56"/>
      <c r="N98" s="57"/>
      <c r="O98" s="58" t="b">
        <f t="shared" si="11"/>
        <v>0</v>
      </c>
    </row>
    <row r="99" spans="5:21" ht="15" x14ac:dyDescent="0.2">
      <c r="E99" s="72">
        <v>2.2000000000000099</v>
      </c>
      <c r="F99" s="73" t="e">
        <f t="shared" si="6"/>
        <v>#DIV/0!</v>
      </c>
      <c r="G99" s="73" t="e">
        <f t="shared" si="7"/>
        <v>#DIV/0!</v>
      </c>
      <c r="H99" s="73" t="e">
        <f t="shared" si="8"/>
        <v>#DIV/0!</v>
      </c>
      <c r="I99" s="73" t="e">
        <f t="shared" si="5"/>
        <v>#DIV/0!</v>
      </c>
      <c r="J99" s="73" t="e">
        <f t="shared" si="9"/>
        <v>#DIV/0!</v>
      </c>
      <c r="K99" s="73" t="e">
        <f t="shared" si="10"/>
        <v>#DIV/0!</v>
      </c>
      <c r="M99" s="56"/>
      <c r="N99" s="57"/>
      <c r="O99" s="58" t="b">
        <f t="shared" si="11"/>
        <v>0</v>
      </c>
    </row>
    <row r="100" spans="5:21" ht="15" x14ac:dyDescent="0.2">
      <c r="E100" s="72">
        <v>2.4000000000000101</v>
      </c>
      <c r="F100" s="73" t="e">
        <f t="shared" si="6"/>
        <v>#DIV/0!</v>
      </c>
      <c r="G100" s="73" t="e">
        <f t="shared" si="7"/>
        <v>#DIV/0!</v>
      </c>
      <c r="H100" s="73" t="e">
        <f t="shared" si="8"/>
        <v>#DIV/0!</v>
      </c>
      <c r="I100" s="73" t="e">
        <f t="shared" si="5"/>
        <v>#DIV/0!</v>
      </c>
      <c r="J100" s="73" t="e">
        <f t="shared" si="9"/>
        <v>#DIV/0!</v>
      </c>
      <c r="K100" s="73" t="e">
        <f t="shared" si="10"/>
        <v>#DIV/0!</v>
      </c>
      <c r="M100" s="56"/>
      <c r="N100" s="57"/>
      <c r="O100" s="58" t="b">
        <f t="shared" si="11"/>
        <v>0</v>
      </c>
    </row>
    <row r="101" spans="5:21" ht="15" x14ac:dyDescent="0.2">
      <c r="E101" s="72">
        <v>2.6000000000000099</v>
      </c>
      <c r="F101" s="73" t="e">
        <f t="shared" si="6"/>
        <v>#DIV/0!</v>
      </c>
      <c r="G101" s="73" t="e">
        <f t="shared" si="7"/>
        <v>#DIV/0!</v>
      </c>
      <c r="H101" s="73" t="e">
        <f t="shared" si="8"/>
        <v>#DIV/0!</v>
      </c>
      <c r="I101" s="73" t="e">
        <f t="shared" si="5"/>
        <v>#DIV/0!</v>
      </c>
      <c r="J101" s="73" t="e">
        <f t="shared" si="9"/>
        <v>#DIV/0!</v>
      </c>
      <c r="K101" s="73" t="e">
        <f t="shared" si="10"/>
        <v>#DIV/0!</v>
      </c>
      <c r="M101" s="56"/>
      <c r="N101" s="57"/>
      <c r="O101" s="58" t="b">
        <f t="shared" si="11"/>
        <v>0</v>
      </c>
    </row>
    <row r="102" spans="5:21" ht="15" x14ac:dyDescent="0.2">
      <c r="E102" s="72">
        <v>2.80000000000001</v>
      </c>
      <c r="F102" s="73" t="e">
        <f t="shared" si="6"/>
        <v>#DIV/0!</v>
      </c>
      <c r="G102" s="73" t="e">
        <f t="shared" si="7"/>
        <v>#DIV/0!</v>
      </c>
      <c r="H102" s="73" t="e">
        <f t="shared" si="8"/>
        <v>#DIV/0!</v>
      </c>
      <c r="I102" s="73" t="e">
        <f t="shared" si="5"/>
        <v>#DIV/0!</v>
      </c>
      <c r="J102" s="73" t="e">
        <f t="shared" si="9"/>
        <v>#DIV/0!</v>
      </c>
      <c r="K102" s="73" t="e">
        <f t="shared" si="10"/>
        <v>#DIV/0!</v>
      </c>
      <c r="M102" s="56"/>
      <c r="N102" s="57"/>
      <c r="O102" s="58" t="b">
        <f t="shared" si="11"/>
        <v>0</v>
      </c>
    </row>
    <row r="103" spans="5:21" ht="15" x14ac:dyDescent="0.2">
      <c r="E103" s="72">
        <v>3.0000000000000102</v>
      </c>
      <c r="F103" s="73" t="e">
        <f t="shared" si="6"/>
        <v>#DIV/0!</v>
      </c>
      <c r="G103" s="73" t="e">
        <f t="shared" si="7"/>
        <v>#DIV/0!</v>
      </c>
      <c r="H103" s="73" t="e">
        <f t="shared" si="8"/>
        <v>#DIV/0!</v>
      </c>
      <c r="I103" s="73" t="e">
        <f t="shared" si="5"/>
        <v>#DIV/0!</v>
      </c>
      <c r="J103" s="73" t="e">
        <f t="shared" si="9"/>
        <v>#DIV/0!</v>
      </c>
      <c r="K103" s="73" t="e">
        <f t="shared" si="10"/>
        <v>#DIV/0!</v>
      </c>
      <c r="M103" s="56"/>
      <c r="N103" s="57"/>
      <c r="O103" s="58" t="b">
        <f t="shared" si="11"/>
        <v>0</v>
      </c>
    </row>
    <row r="104" spans="5:21" ht="15" x14ac:dyDescent="0.2">
      <c r="E104" s="72">
        <v>3.2000000000000099</v>
      </c>
      <c r="F104" s="73" t="e">
        <f t="shared" si="6"/>
        <v>#DIV/0!</v>
      </c>
      <c r="G104" s="73" t="e">
        <f t="shared" si="7"/>
        <v>#DIV/0!</v>
      </c>
      <c r="H104" s="73" t="e">
        <f t="shared" si="8"/>
        <v>#DIV/0!</v>
      </c>
      <c r="I104" s="73" t="e">
        <f t="shared" si="5"/>
        <v>#DIV/0!</v>
      </c>
      <c r="J104" s="73" t="e">
        <f t="shared" si="9"/>
        <v>#DIV/0!</v>
      </c>
      <c r="K104" s="73" t="e">
        <f t="shared" si="10"/>
        <v>#DIV/0!</v>
      </c>
      <c r="M104" s="56"/>
      <c r="N104" s="57"/>
      <c r="O104" s="58" t="b">
        <f t="shared" si="11"/>
        <v>0</v>
      </c>
    </row>
    <row r="105" spans="5:21" ht="15" x14ac:dyDescent="0.2">
      <c r="E105" s="72">
        <v>3.4000000000000101</v>
      </c>
      <c r="F105" s="73" t="e">
        <f t="shared" si="6"/>
        <v>#DIV/0!</v>
      </c>
      <c r="G105" s="73" t="e">
        <f t="shared" si="7"/>
        <v>#DIV/0!</v>
      </c>
      <c r="H105" s="73" t="e">
        <f t="shared" si="8"/>
        <v>#DIV/0!</v>
      </c>
      <c r="I105" s="73" t="e">
        <f t="shared" si="5"/>
        <v>#DIV/0!</v>
      </c>
      <c r="J105" s="73" t="e">
        <f t="shared" si="9"/>
        <v>#DIV/0!</v>
      </c>
      <c r="K105" s="73" t="e">
        <f t="shared" si="10"/>
        <v>#DIV/0!</v>
      </c>
      <c r="M105" s="56"/>
      <c r="N105" s="57"/>
      <c r="O105" s="58" t="b">
        <f t="shared" si="11"/>
        <v>0</v>
      </c>
    </row>
    <row r="106" spans="5:21" ht="15" x14ac:dyDescent="0.2">
      <c r="E106" s="72">
        <v>3.6000000000000099</v>
      </c>
      <c r="F106" s="73" t="e">
        <f t="shared" si="6"/>
        <v>#DIV/0!</v>
      </c>
      <c r="G106" s="73" t="e">
        <f t="shared" si="7"/>
        <v>#DIV/0!</v>
      </c>
      <c r="H106" s="73" t="e">
        <f t="shared" si="8"/>
        <v>#DIV/0!</v>
      </c>
      <c r="I106" s="73" t="e">
        <f t="shared" si="5"/>
        <v>#DIV/0!</v>
      </c>
      <c r="J106" s="73" t="e">
        <f t="shared" si="9"/>
        <v>#DIV/0!</v>
      </c>
      <c r="K106" s="73" t="e">
        <f t="shared" si="10"/>
        <v>#DIV/0!</v>
      </c>
      <c r="M106" s="56"/>
      <c r="N106" s="57"/>
      <c r="O106" s="58" t="b">
        <f t="shared" si="11"/>
        <v>0</v>
      </c>
    </row>
    <row r="107" spans="5:21" ht="15" x14ac:dyDescent="0.2">
      <c r="E107" s="72">
        <v>3.80000000000001</v>
      </c>
      <c r="F107" s="73" t="e">
        <f t="shared" si="6"/>
        <v>#DIV/0!</v>
      </c>
      <c r="G107" s="73" t="e">
        <f t="shared" si="7"/>
        <v>#DIV/0!</v>
      </c>
      <c r="H107" s="73" t="e">
        <f t="shared" si="8"/>
        <v>#DIV/0!</v>
      </c>
      <c r="I107" s="73" t="e">
        <f t="shared" si="5"/>
        <v>#DIV/0!</v>
      </c>
      <c r="J107" s="73" t="e">
        <f t="shared" si="9"/>
        <v>#DIV/0!</v>
      </c>
      <c r="K107" s="73" t="e">
        <f t="shared" si="10"/>
        <v>#DIV/0!</v>
      </c>
      <c r="M107" s="56"/>
      <c r="N107" s="57"/>
      <c r="O107" s="58" t="b">
        <f t="shared" si="11"/>
        <v>0</v>
      </c>
    </row>
    <row r="108" spans="5:21" ht="15" x14ac:dyDescent="0.2">
      <c r="E108" s="72">
        <v>4.0000000000000098</v>
      </c>
      <c r="F108" s="73" t="e">
        <f t="shared" si="6"/>
        <v>#DIV/0!</v>
      </c>
      <c r="G108" s="73" t="e">
        <f t="shared" si="7"/>
        <v>#DIV/0!</v>
      </c>
      <c r="H108" s="73" t="e">
        <f t="shared" si="8"/>
        <v>#DIV/0!</v>
      </c>
      <c r="I108" s="73" t="e">
        <f t="shared" si="5"/>
        <v>#DIV/0!</v>
      </c>
      <c r="J108" s="73" t="e">
        <f t="shared" si="9"/>
        <v>#DIV/0!</v>
      </c>
      <c r="K108" s="73" t="e">
        <f t="shared" si="10"/>
        <v>#DIV/0!</v>
      </c>
      <c r="M108" s="56"/>
      <c r="N108" s="57"/>
      <c r="O108" s="58" t="b">
        <f t="shared" si="11"/>
        <v>0</v>
      </c>
    </row>
    <row r="109" spans="5:21" ht="15" x14ac:dyDescent="0.2">
      <c r="E109" s="72">
        <v>4.2000000000000099</v>
      </c>
      <c r="F109" s="73" t="e">
        <f t="shared" si="6"/>
        <v>#DIV/0!</v>
      </c>
      <c r="G109" s="73" t="e">
        <f t="shared" si="7"/>
        <v>#DIV/0!</v>
      </c>
      <c r="H109" s="73" t="e">
        <f t="shared" si="8"/>
        <v>#DIV/0!</v>
      </c>
      <c r="I109" s="73" t="e">
        <f t="shared" si="5"/>
        <v>#DIV/0!</v>
      </c>
      <c r="J109" s="73" t="e">
        <f t="shared" si="9"/>
        <v>#DIV/0!</v>
      </c>
      <c r="K109" s="73" t="e">
        <f t="shared" si="10"/>
        <v>#DIV/0!</v>
      </c>
      <c r="M109" s="56"/>
      <c r="N109" s="57"/>
      <c r="O109" s="58" t="b">
        <f t="shared" si="11"/>
        <v>0</v>
      </c>
    </row>
    <row r="110" spans="5:21" ht="15" x14ac:dyDescent="0.2">
      <c r="E110" s="72">
        <v>4.4000000000000101</v>
      </c>
      <c r="F110" s="73" t="e">
        <f t="shared" si="6"/>
        <v>#DIV/0!</v>
      </c>
      <c r="G110" s="73" t="e">
        <f t="shared" si="7"/>
        <v>#DIV/0!</v>
      </c>
      <c r="H110" s="73" t="e">
        <f t="shared" si="8"/>
        <v>#DIV/0!</v>
      </c>
      <c r="I110" s="73" t="e">
        <f t="shared" si="5"/>
        <v>#DIV/0!</v>
      </c>
      <c r="J110" s="73" t="e">
        <f t="shared" si="9"/>
        <v>#DIV/0!</v>
      </c>
      <c r="K110" s="73" t="e">
        <f t="shared" si="10"/>
        <v>#DIV/0!</v>
      </c>
      <c r="M110" s="56"/>
      <c r="N110" s="57"/>
      <c r="O110" s="58" t="b">
        <f t="shared" si="11"/>
        <v>0</v>
      </c>
    </row>
    <row r="111" spans="5:21" ht="15" x14ac:dyDescent="0.2">
      <c r="E111" s="72">
        <v>4.6000000000000103</v>
      </c>
      <c r="F111" s="73" t="e">
        <f t="shared" si="6"/>
        <v>#DIV/0!</v>
      </c>
      <c r="G111" s="73" t="e">
        <f t="shared" si="7"/>
        <v>#DIV/0!</v>
      </c>
      <c r="H111" s="73" t="e">
        <f t="shared" si="8"/>
        <v>#DIV/0!</v>
      </c>
      <c r="I111" s="73" t="e">
        <f t="shared" si="5"/>
        <v>#DIV/0!</v>
      </c>
      <c r="J111" s="73" t="e">
        <f t="shared" si="9"/>
        <v>#DIV/0!</v>
      </c>
      <c r="K111" s="73" t="e">
        <f t="shared" si="10"/>
        <v>#DIV/0!</v>
      </c>
      <c r="M111" s="56"/>
      <c r="N111" s="57"/>
      <c r="O111" s="58" t="b">
        <f t="shared" si="11"/>
        <v>0</v>
      </c>
    </row>
    <row r="112" spans="5:21" ht="15" x14ac:dyDescent="0.2">
      <c r="E112" s="72">
        <v>4.8000000000000096</v>
      </c>
      <c r="F112" s="73" t="e">
        <f t="shared" si="6"/>
        <v>#DIV/0!</v>
      </c>
      <c r="G112" s="73" t="e">
        <f t="shared" si="7"/>
        <v>#DIV/0!</v>
      </c>
      <c r="H112" s="73" t="e">
        <f t="shared" si="8"/>
        <v>#DIV/0!</v>
      </c>
      <c r="I112" s="73" t="e">
        <f t="shared" si="5"/>
        <v>#DIV/0!</v>
      </c>
      <c r="J112" s="73" t="e">
        <f t="shared" si="9"/>
        <v>#DIV/0!</v>
      </c>
      <c r="K112" s="73" t="e">
        <f t="shared" si="10"/>
        <v>#DIV/0!</v>
      </c>
      <c r="M112" s="56"/>
      <c r="N112" s="57"/>
      <c r="O112" s="58" t="b">
        <f t="shared" si="11"/>
        <v>0</v>
      </c>
    </row>
    <row r="113" spans="5:15" ht="15" x14ac:dyDescent="0.2">
      <c r="E113" s="72">
        <v>5</v>
      </c>
      <c r="F113" s="73" t="e">
        <f t="shared" si="6"/>
        <v>#DIV/0!</v>
      </c>
      <c r="G113" s="73" t="e">
        <f t="shared" si="7"/>
        <v>#DIV/0!</v>
      </c>
      <c r="H113" s="73" t="e">
        <f t="shared" si="8"/>
        <v>#DIV/0!</v>
      </c>
      <c r="I113" s="73" t="e">
        <f t="shared" si="5"/>
        <v>#DIV/0!</v>
      </c>
      <c r="J113" s="73" t="e">
        <f t="shared" si="9"/>
        <v>#DIV/0!</v>
      </c>
      <c r="K113" s="73" t="e">
        <f t="shared" si="10"/>
        <v>#DIV/0!</v>
      </c>
      <c r="M113" s="56"/>
      <c r="N113" s="57"/>
      <c r="O113" s="58" t="b">
        <f t="shared" si="11"/>
        <v>0</v>
      </c>
    </row>
    <row r="114" spans="5:15" ht="15" x14ac:dyDescent="0.2">
      <c r="M114" s="56"/>
      <c r="N114" s="57"/>
      <c r="O114" s="58" t="b">
        <f t="shared" si="11"/>
        <v>0</v>
      </c>
    </row>
    <row r="115" spans="5:15" ht="15" x14ac:dyDescent="0.2">
      <c r="M115" s="56"/>
      <c r="N115" s="57"/>
      <c r="O115" s="58" t="b">
        <f t="shared" si="11"/>
        <v>0</v>
      </c>
    </row>
    <row r="116" spans="5:15" ht="15" x14ac:dyDescent="0.2">
      <c r="M116" s="56"/>
      <c r="N116" s="57"/>
      <c r="O116" s="58" t="b">
        <f t="shared" si="11"/>
        <v>0</v>
      </c>
    </row>
    <row r="117" spans="5:15" ht="15.75" x14ac:dyDescent="0.25">
      <c r="F117" s="10" t="s">
        <v>42</v>
      </c>
      <c r="G117" s="10"/>
      <c r="M117" s="56"/>
      <c r="N117" s="57"/>
      <c r="O117" s="58" t="b">
        <f t="shared" si="11"/>
        <v>0</v>
      </c>
    </row>
    <row r="118" spans="5:15" ht="15" x14ac:dyDescent="0.2">
      <c r="F118" s="69" t="s">
        <v>37</v>
      </c>
      <c r="G118" s="90" t="e">
        <f>CORREL($N$3:$N$252,$M$3:$M$252)</f>
        <v>#DIV/0!</v>
      </c>
      <c r="H118" s="11"/>
      <c r="I118" s="11"/>
      <c r="J118" s="11"/>
      <c r="M118" s="56"/>
      <c r="N118" s="57"/>
      <c r="O118" s="58" t="b">
        <f t="shared" si="11"/>
        <v>0</v>
      </c>
    </row>
    <row r="119" spans="5:15" ht="15" x14ac:dyDescent="0.2">
      <c r="F119" s="69" t="s">
        <v>38</v>
      </c>
      <c r="G119" s="79" t="e">
        <f>INTERCEPT($N$3:$N$252,$M$3:$M$252)</f>
        <v>#DIV/0!</v>
      </c>
      <c r="H119" s="11"/>
      <c r="I119" s="11"/>
      <c r="J119" s="11"/>
      <c r="M119" s="56"/>
      <c r="N119" s="57"/>
      <c r="O119" s="58" t="b">
        <f t="shared" si="11"/>
        <v>0</v>
      </c>
    </row>
    <row r="120" spans="5:15" ht="15" x14ac:dyDescent="0.2">
      <c r="F120" s="69" t="s">
        <v>39</v>
      </c>
      <c r="G120" s="79" t="e">
        <f>SLOPE($N$3:$N$252,$M$3:$M$252)</f>
        <v>#DIV/0!</v>
      </c>
      <c r="H120" s="69" t="s">
        <v>50</v>
      </c>
      <c r="I120" s="79" t="b">
        <f>IF($B$9&gt;3,INDEX(XX!$C$4:$C$150,$B$9))</f>
        <v>0</v>
      </c>
      <c r="J120" s="79" t="b">
        <f>IF($B$9&gt;3,INDEX(XX!$D$4:$D$150,$B$9))</f>
        <v>0</v>
      </c>
      <c r="M120" s="56"/>
      <c r="N120" s="57"/>
      <c r="O120" s="58" t="b">
        <f t="shared" si="11"/>
        <v>0</v>
      </c>
    </row>
    <row r="121" spans="5:15" ht="15" x14ac:dyDescent="0.2">
      <c r="F121" s="11"/>
      <c r="G121" s="91"/>
      <c r="H121" s="69" t="s">
        <v>51</v>
      </c>
      <c r="I121" s="69" t="s">
        <v>52</v>
      </c>
      <c r="J121" s="69" t="s">
        <v>53</v>
      </c>
      <c r="M121" s="56"/>
      <c r="N121" s="57"/>
      <c r="O121" s="58" t="b">
        <f t="shared" si="11"/>
        <v>0</v>
      </c>
    </row>
    <row r="122" spans="5:15" ht="15" x14ac:dyDescent="0.2">
      <c r="F122" s="69" t="s">
        <v>40</v>
      </c>
      <c r="G122" s="92">
        <f>MIN($N$3:$N$252)</f>
        <v>0</v>
      </c>
      <c r="H122" s="11"/>
      <c r="I122" s="79" t="e">
        <f>IF((ABS($G$118)&gt;$I$120)*AND(ABS($G$118)&lt;$J$120),G$119+G$120*G122,0)</f>
        <v>#DIV/0!</v>
      </c>
      <c r="J122" s="79" t="e">
        <f>IF((ABS($G$118)&gt;$J$120),G$119+G$120*G122,0)</f>
        <v>#DIV/0!</v>
      </c>
      <c r="M122" s="56"/>
      <c r="N122" s="57"/>
      <c r="O122" s="58" t="b">
        <f t="shared" si="11"/>
        <v>0</v>
      </c>
    </row>
    <row r="123" spans="5:15" ht="15" x14ac:dyDescent="0.2">
      <c r="F123" s="69" t="s">
        <v>41</v>
      </c>
      <c r="G123" s="92">
        <f>MAX($M$3:$M$252)</f>
        <v>0</v>
      </c>
      <c r="H123" s="11"/>
      <c r="I123" s="79" t="e">
        <f>IF((ABS($G$118)&gt;$I$120)*AND(ABS($G$118)&lt;$J$120),G$119+G$120*G123,0)</f>
        <v>#DIV/0!</v>
      </c>
      <c r="J123" s="79" t="e">
        <f>IF((ABS($G$118)&gt;$J$120),G$119+G$120*G123,0)</f>
        <v>#DIV/0!</v>
      </c>
      <c r="M123" s="56"/>
      <c r="N123" s="57"/>
      <c r="O123" s="58" t="b">
        <f t="shared" si="11"/>
        <v>0</v>
      </c>
    </row>
    <row r="124" spans="5:15" ht="15" x14ac:dyDescent="0.2">
      <c r="M124" s="56"/>
      <c r="N124" s="57"/>
      <c r="O124" s="58" t="b">
        <f t="shared" si="11"/>
        <v>0</v>
      </c>
    </row>
    <row r="125" spans="5:15" ht="15" x14ac:dyDescent="0.2">
      <c r="M125" s="56"/>
      <c r="N125" s="57"/>
      <c r="O125" s="58" t="b">
        <f t="shared" si="11"/>
        <v>0</v>
      </c>
    </row>
    <row r="126" spans="5:15" ht="15" x14ac:dyDescent="0.2">
      <c r="M126" s="56"/>
      <c r="N126" s="57"/>
      <c r="O126" s="58" t="b">
        <f t="shared" si="11"/>
        <v>0</v>
      </c>
    </row>
    <row r="127" spans="5:15" ht="15" x14ac:dyDescent="0.2">
      <c r="M127" s="56"/>
      <c r="N127" s="57"/>
      <c r="O127" s="58" t="b">
        <f t="shared" si="11"/>
        <v>0</v>
      </c>
    </row>
    <row r="128" spans="5:15" ht="15" x14ac:dyDescent="0.2">
      <c r="M128" s="56"/>
      <c r="N128" s="57"/>
      <c r="O128" s="58" t="b">
        <f t="shared" si="11"/>
        <v>0</v>
      </c>
    </row>
    <row r="129" spans="13:15" ht="15" x14ac:dyDescent="0.2">
      <c r="M129" s="56"/>
      <c r="N129" s="57"/>
      <c r="O129" s="58" t="b">
        <f t="shared" si="11"/>
        <v>0</v>
      </c>
    </row>
    <row r="130" spans="13:15" ht="15" x14ac:dyDescent="0.2">
      <c r="M130" s="56"/>
      <c r="N130" s="57"/>
      <c r="O130" s="58" t="b">
        <f t="shared" si="11"/>
        <v>0</v>
      </c>
    </row>
    <row r="131" spans="13:15" ht="15" x14ac:dyDescent="0.2">
      <c r="M131" s="56"/>
      <c r="N131" s="57"/>
      <c r="O131" s="58" t="b">
        <f t="shared" ref="O131:O194" si="12">IF($N131&gt;0,LN($N131+$B$26))</f>
        <v>0</v>
      </c>
    </row>
    <row r="132" spans="13:15" ht="15" x14ac:dyDescent="0.2">
      <c r="M132" s="56"/>
      <c r="N132" s="57"/>
      <c r="O132" s="58" t="b">
        <f t="shared" si="12"/>
        <v>0</v>
      </c>
    </row>
    <row r="133" spans="13:15" ht="15" x14ac:dyDescent="0.2">
      <c r="M133" s="56"/>
      <c r="N133" s="57"/>
      <c r="O133" s="58" t="b">
        <f t="shared" si="12"/>
        <v>0</v>
      </c>
    </row>
    <row r="134" spans="13:15" ht="15" x14ac:dyDescent="0.2">
      <c r="M134" s="56"/>
      <c r="N134" s="57"/>
      <c r="O134" s="58" t="b">
        <f t="shared" si="12"/>
        <v>0</v>
      </c>
    </row>
    <row r="135" spans="13:15" ht="15" x14ac:dyDescent="0.2">
      <c r="M135" s="56"/>
      <c r="N135" s="57"/>
      <c r="O135" s="58" t="b">
        <f t="shared" si="12"/>
        <v>0</v>
      </c>
    </row>
    <row r="136" spans="13:15" ht="15" x14ac:dyDescent="0.2">
      <c r="M136" s="56"/>
      <c r="N136" s="57"/>
      <c r="O136" s="58" t="b">
        <f t="shared" si="12"/>
        <v>0</v>
      </c>
    </row>
    <row r="137" spans="13:15" ht="15" x14ac:dyDescent="0.2">
      <c r="M137" s="56"/>
      <c r="N137" s="57"/>
      <c r="O137" s="58" t="b">
        <f t="shared" si="12"/>
        <v>0</v>
      </c>
    </row>
    <row r="138" spans="13:15" ht="15" x14ac:dyDescent="0.2">
      <c r="M138" s="56"/>
      <c r="N138" s="57"/>
      <c r="O138" s="58" t="b">
        <f t="shared" si="12"/>
        <v>0</v>
      </c>
    </row>
    <row r="139" spans="13:15" ht="15" x14ac:dyDescent="0.2">
      <c r="M139" s="56"/>
      <c r="N139" s="57"/>
      <c r="O139" s="58" t="b">
        <f t="shared" si="12"/>
        <v>0</v>
      </c>
    </row>
    <row r="140" spans="13:15" ht="15" x14ac:dyDescent="0.2">
      <c r="M140" s="56"/>
      <c r="N140" s="57"/>
      <c r="O140" s="58" t="b">
        <f t="shared" si="12"/>
        <v>0</v>
      </c>
    </row>
    <row r="141" spans="13:15" ht="15" x14ac:dyDescent="0.2">
      <c r="M141" s="56"/>
      <c r="N141" s="57"/>
      <c r="O141" s="58" t="b">
        <f t="shared" si="12"/>
        <v>0</v>
      </c>
    </row>
    <row r="142" spans="13:15" ht="15" x14ac:dyDescent="0.2">
      <c r="M142" s="56"/>
      <c r="N142" s="57"/>
      <c r="O142" s="58" t="b">
        <f t="shared" si="12"/>
        <v>0</v>
      </c>
    </row>
    <row r="143" spans="13:15" ht="15" x14ac:dyDescent="0.2">
      <c r="M143" s="56"/>
      <c r="N143" s="57"/>
      <c r="O143" s="58" t="b">
        <f t="shared" si="12"/>
        <v>0</v>
      </c>
    </row>
    <row r="144" spans="13:15" ht="15" x14ac:dyDescent="0.2">
      <c r="M144" s="56"/>
      <c r="N144" s="57"/>
      <c r="O144" s="58" t="b">
        <f t="shared" si="12"/>
        <v>0</v>
      </c>
    </row>
    <row r="145" spans="13:15" ht="15" x14ac:dyDescent="0.2">
      <c r="M145" s="56"/>
      <c r="N145" s="57"/>
      <c r="O145" s="58" t="b">
        <f t="shared" si="12"/>
        <v>0</v>
      </c>
    </row>
    <row r="146" spans="13:15" ht="15" x14ac:dyDescent="0.2">
      <c r="M146" s="56"/>
      <c r="N146" s="57"/>
      <c r="O146" s="58" t="b">
        <f t="shared" si="12"/>
        <v>0</v>
      </c>
    </row>
    <row r="147" spans="13:15" ht="15" x14ac:dyDescent="0.2">
      <c r="M147" s="56"/>
      <c r="N147" s="57"/>
      <c r="O147" s="58" t="b">
        <f t="shared" si="12"/>
        <v>0</v>
      </c>
    </row>
    <row r="148" spans="13:15" ht="15" x14ac:dyDescent="0.2">
      <c r="M148" s="56"/>
      <c r="N148" s="57"/>
      <c r="O148" s="58" t="b">
        <f t="shared" si="12"/>
        <v>0</v>
      </c>
    </row>
    <row r="149" spans="13:15" ht="15" x14ac:dyDescent="0.2">
      <c r="M149" s="56"/>
      <c r="N149" s="57"/>
      <c r="O149" s="58" t="b">
        <f t="shared" si="12"/>
        <v>0</v>
      </c>
    </row>
    <row r="150" spans="13:15" ht="15" x14ac:dyDescent="0.2">
      <c r="M150" s="56"/>
      <c r="N150" s="57"/>
      <c r="O150" s="58" t="b">
        <f t="shared" si="12"/>
        <v>0</v>
      </c>
    </row>
    <row r="151" spans="13:15" ht="15" x14ac:dyDescent="0.2">
      <c r="M151" s="56"/>
      <c r="N151" s="57"/>
      <c r="O151" s="58" t="b">
        <f t="shared" si="12"/>
        <v>0</v>
      </c>
    </row>
    <row r="152" spans="13:15" ht="15" x14ac:dyDescent="0.2">
      <c r="M152" s="56"/>
      <c r="N152" s="57"/>
      <c r="O152" s="58" t="b">
        <f t="shared" si="12"/>
        <v>0</v>
      </c>
    </row>
    <row r="153" spans="13:15" ht="15" x14ac:dyDescent="0.2">
      <c r="M153" s="56"/>
      <c r="N153" s="57"/>
      <c r="O153" s="58" t="b">
        <f t="shared" si="12"/>
        <v>0</v>
      </c>
    </row>
    <row r="154" spans="13:15" ht="15" x14ac:dyDescent="0.2">
      <c r="M154" s="56"/>
      <c r="N154" s="57"/>
      <c r="O154" s="58" t="b">
        <f t="shared" si="12"/>
        <v>0</v>
      </c>
    </row>
    <row r="155" spans="13:15" ht="15" x14ac:dyDescent="0.2">
      <c r="M155" s="56"/>
      <c r="N155" s="57"/>
      <c r="O155" s="58" t="b">
        <f t="shared" si="12"/>
        <v>0</v>
      </c>
    </row>
    <row r="156" spans="13:15" ht="15" x14ac:dyDescent="0.2">
      <c r="M156" s="56"/>
      <c r="N156" s="57"/>
      <c r="O156" s="58" t="b">
        <f t="shared" si="12"/>
        <v>0</v>
      </c>
    </row>
    <row r="157" spans="13:15" ht="15" x14ac:dyDescent="0.2">
      <c r="M157" s="56"/>
      <c r="N157" s="57"/>
      <c r="O157" s="58" t="b">
        <f t="shared" si="12"/>
        <v>0</v>
      </c>
    </row>
    <row r="158" spans="13:15" ht="15" x14ac:dyDescent="0.2">
      <c r="M158" s="56"/>
      <c r="N158" s="57"/>
      <c r="O158" s="58" t="b">
        <f t="shared" si="12"/>
        <v>0</v>
      </c>
    </row>
    <row r="159" spans="13:15" ht="15" x14ac:dyDescent="0.2">
      <c r="M159" s="56"/>
      <c r="N159" s="57"/>
      <c r="O159" s="58" t="b">
        <f t="shared" si="12"/>
        <v>0</v>
      </c>
    </row>
    <row r="160" spans="13:15" ht="15" x14ac:dyDescent="0.2">
      <c r="M160" s="56"/>
      <c r="N160" s="57"/>
      <c r="O160" s="58" t="b">
        <f t="shared" si="12"/>
        <v>0</v>
      </c>
    </row>
    <row r="161" spans="13:15" ht="15" x14ac:dyDescent="0.2">
      <c r="M161" s="56"/>
      <c r="N161" s="57"/>
      <c r="O161" s="58" t="b">
        <f t="shared" si="12"/>
        <v>0</v>
      </c>
    </row>
    <row r="162" spans="13:15" ht="15" x14ac:dyDescent="0.2">
      <c r="M162" s="56"/>
      <c r="N162" s="57"/>
      <c r="O162" s="58" t="b">
        <f t="shared" si="12"/>
        <v>0</v>
      </c>
    </row>
    <row r="163" spans="13:15" ht="15" x14ac:dyDescent="0.2">
      <c r="M163" s="56"/>
      <c r="N163" s="57"/>
      <c r="O163" s="58" t="b">
        <f t="shared" si="12"/>
        <v>0</v>
      </c>
    </row>
    <row r="164" spans="13:15" ht="15" x14ac:dyDescent="0.2">
      <c r="M164" s="56"/>
      <c r="N164" s="57"/>
      <c r="O164" s="58" t="b">
        <f t="shared" si="12"/>
        <v>0</v>
      </c>
    </row>
    <row r="165" spans="13:15" ht="15" x14ac:dyDescent="0.2">
      <c r="M165" s="56"/>
      <c r="N165" s="57"/>
      <c r="O165" s="58" t="b">
        <f t="shared" si="12"/>
        <v>0</v>
      </c>
    </row>
    <row r="166" spans="13:15" ht="15" x14ac:dyDescent="0.2">
      <c r="M166" s="56"/>
      <c r="N166" s="57"/>
      <c r="O166" s="58" t="b">
        <f t="shared" si="12"/>
        <v>0</v>
      </c>
    </row>
    <row r="167" spans="13:15" ht="15" x14ac:dyDescent="0.2">
      <c r="M167" s="56"/>
      <c r="N167" s="57"/>
      <c r="O167" s="58" t="b">
        <f t="shared" si="12"/>
        <v>0</v>
      </c>
    </row>
    <row r="168" spans="13:15" ht="15" x14ac:dyDescent="0.2">
      <c r="M168" s="56"/>
      <c r="N168" s="57"/>
      <c r="O168" s="58" t="b">
        <f t="shared" si="12"/>
        <v>0</v>
      </c>
    </row>
    <row r="169" spans="13:15" ht="15" x14ac:dyDescent="0.2">
      <c r="M169" s="56"/>
      <c r="N169" s="57"/>
      <c r="O169" s="58" t="b">
        <f t="shared" si="12"/>
        <v>0</v>
      </c>
    </row>
    <row r="170" spans="13:15" ht="15" x14ac:dyDescent="0.2">
      <c r="M170" s="56"/>
      <c r="N170" s="57"/>
      <c r="O170" s="58" t="b">
        <f t="shared" si="12"/>
        <v>0</v>
      </c>
    </row>
    <row r="171" spans="13:15" ht="15" x14ac:dyDescent="0.2">
      <c r="M171" s="56"/>
      <c r="N171" s="57"/>
      <c r="O171" s="58" t="b">
        <f t="shared" si="12"/>
        <v>0</v>
      </c>
    </row>
    <row r="172" spans="13:15" ht="15" x14ac:dyDescent="0.2">
      <c r="M172" s="56"/>
      <c r="N172" s="57"/>
      <c r="O172" s="58" t="b">
        <f t="shared" si="12"/>
        <v>0</v>
      </c>
    </row>
    <row r="173" spans="13:15" ht="15" x14ac:dyDescent="0.2">
      <c r="M173" s="56"/>
      <c r="N173" s="57"/>
      <c r="O173" s="58" t="b">
        <f t="shared" si="12"/>
        <v>0</v>
      </c>
    </row>
    <row r="174" spans="13:15" ht="15" x14ac:dyDescent="0.2">
      <c r="M174" s="56"/>
      <c r="N174" s="57"/>
      <c r="O174" s="58" t="b">
        <f t="shared" si="12"/>
        <v>0</v>
      </c>
    </row>
    <row r="175" spans="13:15" ht="15" x14ac:dyDescent="0.2">
      <c r="M175" s="56"/>
      <c r="N175" s="57"/>
      <c r="O175" s="58" t="b">
        <f t="shared" si="12"/>
        <v>0</v>
      </c>
    </row>
    <row r="176" spans="13:15" ht="15" x14ac:dyDescent="0.2">
      <c r="M176" s="56"/>
      <c r="N176" s="57"/>
      <c r="O176" s="58" t="b">
        <f t="shared" si="12"/>
        <v>0</v>
      </c>
    </row>
    <row r="177" spans="13:15" ht="15" x14ac:dyDescent="0.2">
      <c r="M177" s="56"/>
      <c r="N177" s="57"/>
      <c r="O177" s="58" t="b">
        <f t="shared" si="12"/>
        <v>0</v>
      </c>
    </row>
    <row r="178" spans="13:15" ht="15" x14ac:dyDescent="0.2">
      <c r="M178" s="56"/>
      <c r="N178" s="57"/>
      <c r="O178" s="58" t="b">
        <f t="shared" si="12"/>
        <v>0</v>
      </c>
    </row>
    <row r="179" spans="13:15" ht="15" x14ac:dyDescent="0.2">
      <c r="M179" s="56"/>
      <c r="N179" s="57"/>
      <c r="O179" s="58" t="b">
        <f t="shared" si="12"/>
        <v>0</v>
      </c>
    </row>
    <row r="180" spans="13:15" ht="15" x14ac:dyDescent="0.2">
      <c r="M180" s="56"/>
      <c r="N180" s="57"/>
      <c r="O180" s="58" t="b">
        <f t="shared" si="12"/>
        <v>0</v>
      </c>
    </row>
    <row r="181" spans="13:15" ht="15" x14ac:dyDescent="0.2">
      <c r="M181" s="56"/>
      <c r="N181" s="57"/>
      <c r="O181" s="58" t="b">
        <f t="shared" si="12"/>
        <v>0</v>
      </c>
    </row>
    <row r="182" spans="13:15" ht="15" x14ac:dyDescent="0.2">
      <c r="M182" s="56"/>
      <c r="N182" s="57"/>
      <c r="O182" s="58" t="b">
        <f t="shared" si="12"/>
        <v>0</v>
      </c>
    </row>
    <row r="183" spans="13:15" ht="15" x14ac:dyDescent="0.2">
      <c r="M183" s="56"/>
      <c r="N183" s="57"/>
      <c r="O183" s="58" t="b">
        <f t="shared" si="12"/>
        <v>0</v>
      </c>
    </row>
    <row r="184" spans="13:15" ht="15" x14ac:dyDescent="0.2">
      <c r="M184" s="56"/>
      <c r="N184" s="57"/>
      <c r="O184" s="58" t="b">
        <f t="shared" si="12"/>
        <v>0</v>
      </c>
    </row>
    <row r="185" spans="13:15" ht="15" x14ac:dyDescent="0.2">
      <c r="M185" s="56"/>
      <c r="N185" s="57"/>
      <c r="O185" s="58" t="b">
        <f t="shared" si="12"/>
        <v>0</v>
      </c>
    </row>
    <row r="186" spans="13:15" ht="15" x14ac:dyDescent="0.2">
      <c r="M186" s="56"/>
      <c r="N186" s="57"/>
      <c r="O186" s="58" t="b">
        <f t="shared" si="12"/>
        <v>0</v>
      </c>
    </row>
    <row r="187" spans="13:15" ht="15" x14ac:dyDescent="0.2">
      <c r="M187" s="56"/>
      <c r="N187" s="57"/>
      <c r="O187" s="58" t="b">
        <f t="shared" si="12"/>
        <v>0</v>
      </c>
    </row>
    <row r="188" spans="13:15" ht="15" x14ac:dyDescent="0.2">
      <c r="M188" s="56"/>
      <c r="N188" s="57"/>
      <c r="O188" s="58" t="b">
        <f t="shared" si="12"/>
        <v>0</v>
      </c>
    </row>
    <row r="189" spans="13:15" ht="15" x14ac:dyDescent="0.2">
      <c r="M189" s="56"/>
      <c r="N189" s="57"/>
      <c r="O189" s="58" t="b">
        <f t="shared" si="12"/>
        <v>0</v>
      </c>
    </row>
    <row r="190" spans="13:15" ht="15" x14ac:dyDescent="0.2">
      <c r="M190" s="56"/>
      <c r="N190" s="57"/>
      <c r="O190" s="58" t="b">
        <f t="shared" si="12"/>
        <v>0</v>
      </c>
    </row>
    <row r="191" spans="13:15" ht="15" x14ac:dyDescent="0.2">
      <c r="M191" s="56"/>
      <c r="N191" s="57"/>
      <c r="O191" s="58" t="b">
        <f t="shared" si="12"/>
        <v>0</v>
      </c>
    </row>
    <row r="192" spans="13:15" ht="15" x14ac:dyDescent="0.2">
      <c r="M192" s="56"/>
      <c r="N192" s="57"/>
      <c r="O192" s="58" t="b">
        <f t="shared" si="12"/>
        <v>0</v>
      </c>
    </row>
    <row r="193" spans="13:15" ht="15" x14ac:dyDescent="0.2">
      <c r="M193" s="56"/>
      <c r="N193" s="57"/>
      <c r="O193" s="58" t="b">
        <f t="shared" si="12"/>
        <v>0</v>
      </c>
    </row>
    <row r="194" spans="13:15" ht="15" x14ac:dyDescent="0.2">
      <c r="M194" s="56"/>
      <c r="N194" s="57"/>
      <c r="O194" s="58" t="b">
        <f t="shared" si="12"/>
        <v>0</v>
      </c>
    </row>
    <row r="195" spans="13:15" ht="15" x14ac:dyDescent="0.2">
      <c r="M195" s="56"/>
      <c r="N195" s="57"/>
      <c r="O195" s="58" t="b">
        <f t="shared" ref="O195:O252" si="13">IF($N195&gt;0,LN($N195+$B$26))</f>
        <v>0</v>
      </c>
    </row>
    <row r="196" spans="13:15" ht="15" x14ac:dyDescent="0.2">
      <c r="M196" s="56"/>
      <c r="N196" s="57"/>
      <c r="O196" s="58" t="b">
        <f t="shared" si="13"/>
        <v>0</v>
      </c>
    </row>
    <row r="197" spans="13:15" ht="15" x14ac:dyDescent="0.2">
      <c r="M197" s="56"/>
      <c r="N197" s="57"/>
      <c r="O197" s="58" t="b">
        <f t="shared" si="13"/>
        <v>0</v>
      </c>
    </row>
    <row r="198" spans="13:15" ht="15" x14ac:dyDescent="0.2">
      <c r="M198" s="56"/>
      <c r="N198" s="57"/>
      <c r="O198" s="58" t="b">
        <f t="shared" si="13"/>
        <v>0</v>
      </c>
    </row>
    <row r="199" spans="13:15" ht="15" x14ac:dyDescent="0.2">
      <c r="M199" s="56"/>
      <c r="N199" s="57"/>
      <c r="O199" s="58" t="b">
        <f t="shared" si="13"/>
        <v>0</v>
      </c>
    </row>
    <row r="200" spans="13:15" ht="15" x14ac:dyDescent="0.2">
      <c r="M200" s="56"/>
      <c r="N200" s="57"/>
      <c r="O200" s="58" t="b">
        <f t="shared" si="13"/>
        <v>0</v>
      </c>
    </row>
    <row r="201" spans="13:15" ht="15" x14ac:dyDescent="0.2">
      <c r="M201" s="56"/>
      <c r="N201" s="57"/>
      <c r="O201" s="58" t="b">
        <f t="shared" si="13"/>
        <v>0</v>
      </c>
    </row>
    <row r="202" spans="13:15" ht="15" x14ac:dyDescent="0.2">
      <c r="M202" s="56"/>
      <c r="N202" s="57"/>
      <c r="O202" s="58" t="b">
        <f t="shared" si="13"/>
        <v>0</v>
      </c>
    </row>
    <row r="203" spans="13:15" ht="15" x14ac:dyDescent="0.2">
      <c r="M203" s="56"/>
      <c r="N203" s="57"/>
      <c r="O203" s="58" t="b">
        <f t="shared" si="13"/>
        <v>0</v>
      </c>
    </row>
    <row r="204" spans="13:15" ht="15" x14ac:dyDescent="0.2">
      <c r="M204" s="56"/>
      <c r="N204" s="57"/>
      <c r="O204" s="58" t="b">
        <f t="shared" si="13"/>
        <v>0</v>
      </c>
    </row>
    <row r="205" spans="13:15" ht="15" x14ac:dyDescent="0.2">
      <c r="M205" s="56"/>
      <c r="N205" s="57"/>
      <c r="O205" s="58" t="b">
        <f t="shared" si="13"/>
        <v>0</v>
      </c>
    </row>
    <row r="206" spans="13:15" ht="15" x14ac:dyDescent="0.2">
      <c r="M206" s="56"/>
      <c r="N206" s="57"/>
      <c r="O206" s="58" t="b">
        <f t="shared" si="13"/>
        <v>0</v>
      </c>
    </row>
    <row r="207" spans="13:15" ht="15" x14ac:dyDescent="0.2">
      <c r="M207" s="56"/>
      <c r="N207" s="57"/>
      <c r="O207" s="58" t="b">
        <f t="shared" si="13"/>
        <v>0</v>
      </c>
    </row>
    <row r="208" spans="13:15" ht="15" x14ac:dyDescent="0.2">
      <c r="M208" s="56"/>
      <c r="N208" s="57"/>
      <c r="O208" s="58" t="b">
        <f t="shared" si="13"/>
        <v>0</v>
      </c>
    </row>
    <row r="209" spans="13:15" ht="15" x14ac:dyDescent="0.2">
      <c r="M209" s="56"/>
      <c r="N209" s="57"/>
      <c r="O209" s="58" t="b">
        <f t="shared" si="13"/>
        <v>0</v>
      </c>
    </row>
    <row r="210" spans="13:15" ht="15" x14ac:dyDescent="0.2">
      <c r="M210" s="56"/>
      <c r="N210" s="57"/>
      <c r="O210" s="58" t="b">
        <f t="shared" si="13"/>
        <v>0</v>
      </c>
    </row>
    <row r="211" spans="13:15" ht="15" x14ac:dyDescent="0.2">
      <c r="M211" s="56"/>
      <c r="N211" s="57"/>
      <c r="O211" s="58" t="b">
        <f t="shared" si="13"/>
        <v>0</v>
      </c>
    </row>
    <row r="212" spans="13:15" ht="15" x14ac:dyDescent="0.2">
      <c r="M212" s="56"/>
      <c r="N212" s="57"/>
      <c r="O212" s="58" t="b">
        <f t="shared" si="13"/>
        <v>0</v>
      </c>
    </row>
    <row r="213" spans="13:15" ht="15" x14ac:dyDescent="0.2">
      <c r="M213" s="56"/>
      <c r="N213" s="57"/>
      <c r="O213" s="58" t="b">
        <f t="shared" si="13"/>
        <v>0</v>
      </c>
    </row>
    <row r="214" spans="13:15" ht="15" x14ac:dyDescent="0.2">
      <c r="M214" s="56"/>
      <c r="N214" s="57"/>
      <c r="O214" s="58" t="b">
        <f t="shared" si="13"/>
        <v>0</v>
      </c>
    </row>
    <row r="215" spans="13:15" ht="15" x14ac:dyDescent="0.2">
      <c r="M215" s="56"/>
      <c r="N215" s="57"/>
      <c r="O215" s="58" t="b">
        <f t="shared" si="13"/>
        <v>0</v>
      </c>
    </row>
    <row r="216" spans="13:15" ht="15" x14ac:dyDescent="0.2">
      <c r="M216" s="56"/>
      <c r="N216" s="57"/>
      <c r="O216" s="58" t="b">
        <f t="shared" si="13"/>
        <v>0</v>
      </c>
    </row>
    <row r="217" spans="13:15" ht="15" x14ac:dyDescent="0.2">
      <c r="M217" s="56"/>
      <c r="N217" s="57"/>
      <c r="O217" s="58" t="b">
        <f t="shared" si="13"/>
        <v>0</v>
      </c>
    </row>
    <row r="218" spans="13:15" ht="15" x14ac:dyDescent="0.2">
      <c r="M218" s="56"/>
      <c r="N218" s="57"/>
      <c r="O218" s="58" t="b">
        <f t="shared" si="13"/>
        <v>0</v>
      </c>
    </row>
    <row r="219" spans="13:15" ht="15" x14ac:dyDescent="0.2">
      <c r="M219" s="56"/>
      <c r="N219" s="57"/>
      <c r="O219" s="58" t="b">
        <f t="shared" si="13"/>
        <v>0</v>
      </c>
    </row>
    <row r="220" spans="13:15" ht="15" x14ac:dyDescent="0.2">
      <c r="M220" s="56"/>
      <c r="N220" s="57"/>
      <c r="O220" s="58" t="b">
        <f t="shared" si="13"/>
        <v>0</v>
      </c>
    </row>
    <row r="221" spans="13:15" ht="15" x14ac:dyDescent="0.2">
      <c r="M221" s="56"/>
      <c r="N221" s="57"/>
      <c r="O221" s="58" t="b">
        <f t="shared" si="13"/>
        <v>0</v>
      </c>
    </row>
    <row r="222" spans="13:15" ht="15" x14ac:dyDescent="0.2">
      <c r="M222" s="56"/>
      <c r="N222" s="57"/>
      <c r="O222" s="58" t="b">
        <f t="shared" si="13"/>
        <v>0</v>
      </c>
    </row>
    <row r="223" spans="13:15" ht="15" x14ac:dyDescent="0.2">
      <c r="M223" s="56"/>
      <c r="N223" s="57"/>
      <c r="O223" s="58" t="b">
        <f t="shared" si="13"/>
        <v>0</v>
      </c>
    </row>
    <row r="224" spans="13:15" ht="15" x14ac:dyDescent="0.2">
      <c r="M224" s="56"/>
      <c r="N224" s="57"/>
      <c r="O224" s="58" t="b">
        <f t="shared" si="13"/>
        <v>0</v>
      </c>
    </row>
    <row r="225" spans="13:15" ht="15" x14ac:dyDescent="0.2">
      <c r="M225" s="56"/>
      <c r="N225" s="57"/>
      <c r="O225" s="58" t="b">
        <f t="shared" si="13"/>
        <v>0</v>
      </c>
    </row>
    <row r="226" spans="13:15" ht="15" x14ac:dyDescent="0.2">
      <c r="M226" s="56"/>
      <c r="N226" s="57"/>
      <c r="O226" s="58" t="b">
        <f t="shared" si="13"/>
        <v>0</v>
      </c>
    </row>
    <row r="227" spans="13:15" ht="15" x14ac:dyDescent="0.2">
      <c r="M227" s="56"/>
      <c r="N227" s="57"/>
      <c r="O227" s="58" t="b">
        <f t="shared" si="13"/>
        <v>0</v>
      </c>
    </row>
    <row r="228" spans="13:15" ht="15" x14ac:dyDescent="0.2">
      <c r="M228" s="56"/>
      <c r="N228" s="57"/>
      <c r="O228" s="58" t="b">
        <f t="shared" si="13"/>
        <v>0</v>
      </c>
    </row>
    <row r="229" spans="13:15" ht="15" x14ac:dyDescent="0.2">
      <c r="M229" s="56"/>
      <c r="N229" s="57"/>
      <c r="O229" s="58" t="b">
        <f t="shared" si="13"/>
        <v>0</v>
      </c>
    </row>
    <row r="230" spans="13:15" ht="15" x14ac:dyDescent="0.2">
      <c r="M230" s="56"/>
      <c r="N230" s="57"/>
      <c r="O230" s="58" t="b">
        <f t="shared" si="13"/>
        <v>0</v>
      </c>
    </row>
    <row r="231" spans="13:15" ht="15" x14ac:dyDescent="0.2">
      <c r="M231" s="56"/>
      <c r="N231" s="57"/>
      <c r="O231" s="58" t="b">
        <f t="shared" si="13"/>
        <v>0</v>
      </c>
    </row>
    <row r="232" spans="13:15" ht="15" x14ac:dyDescent="0.2">
      <c r="M232" s="56"/>
      <c r="N232" s="57"/>
      <c r="O232" s="58" t="b">
        <f t="shared" si="13"/>
        <v>0</v>
      </c>
    </row>
    <row r="233" spans="13:15" ht="15" x14ac:dyDescent="0.2">
      <c r="M233" s="56"/>
      <c r="N233" s="57"/>
      <c r="O233" s="58" t="b">
        <f t="shared" si="13"/>
        <v>0</v>
      </c>
    </row>
    <row r="234" spans="13:15" ht="15" x14ac:dyDescent="0.2">
      <c r="M234" s="56"/>
      <c r="N234" s="57"/>
      <c r="O234" s="58" t="b">
        <f t="shared" si="13"/>
        <v>0</v>
      </c>
    </row>
    <row r="235" spans="13:15" ht="15" x14ac:dyDescent="0.2">
      <c r="M235" s="56"/>
      <c r="N235" s="57"/>
      <c r="O235" s="58" t="b">
        <f t="shared" si="13"/>
        <v>0</v>
      </c>
    </row>
    <row r="236" spans="13:15" ht="15" x14ac:dyDescent="0.2">
      <c r="M236" s="56"/>
      <c r="N236" s="57"/>
      <c r="O236" s="58" t="b">
        <f t="shared" si="13"/>
        <v>0</v>
      </c>
    </row>
    <row r="237" spans="13:15" ht="15" x14ac:dyDescent="0.2">
      <c r="M237" s="56"/>
      <c r="N237" s="57"/>
      <c r="O237" s="58" t="b">
        <f t="shared" si="13"/>
        <v>0</v>
      </c>
    </row>
    <row r="238" spans="13:15" ht="15" x14ac:dyDescent="0.2">
      <c r="M238" s="56"/>
      <c r="N238" s="57"/>
      <c r="O238" s="58" t="b">
        <f t="shared" si="13"/>
        <v>0</v>
      </c>
    </row>
    <row r="239" spans="13:15" ht="15" x14ac:dyDescent="0.2">
      <c r="M239" s="56"/>
      <c r="N239" s="57"/>
      <c r="O239" s="58" t="b">
        <f t="shared" si="13"/>
        <v>0</v>
      </c>
    </row>
    <row r="240" spans="13:15" ht="15" x14ac:dyDescent="0.2">
      <c r="M240" s="56"/>
      <c r="N240" s="57"/>
      <c r="O240" s="58" t="b">
        <f t="shared" si="13"/>
        <v>0</v>
      </c>
    </row>
    <row r="241" spans="13:15" ht="15" x14ac:dyDescent="0.2">
      <c r="M241" s="56"/>
      <c r="N241" s="57"/>
      <c r="O241" s="58" t="b">
        <f t="shared" si="13"/>
        <v>0</v>
      </c>
    </row>
    <row r="242" spans="13:15" ht="15" x14ac:dyDescent="0.2">
      <c r="M242" s="56"/>
      <c r="N242" s="57"/>
      <c r="O242" s="58" t="b">
        <f t="shared" si="13"/>
        <v>0</v>
      </c>
    </row>
    <row r="243" spans="13:15" ht="15" x14ac:dyDescent="0.2">
      <c r="M243" s="56"/>
      <c r="N243" s="57"/>
      <c r="O243" s="58" t="b">
        <f t="shared" si="13"/>
        <v>0</v>
      </c>
    </row>
    <row r="244" spans="13:15" ht="15" x14ac:dyDescent="0.2">
      <c r="M244" s="56"/>
      <c r="N244" s="57"/>
      <c r="O244" s="58" t="b">
        <f t="shared" si="13"/>
        <v>0</v>
      </c>
    </row>
    <row r="245" spans="13:15" ht="15" x14ac:dyDescent="0.2">
      <c r="M245" s="56"/>
      <c r="N245" s="57"/>
      <c r="O245" s="58" t="b">
        <f t="shared" si="13"/>
        <v>0</v>
      </c>
    </row>
    <row r="246" spans="13:15" ht="15" x14ac:dyDescent="0.2">
      <c r="M246" s="56"/>
      <c r="N246" s="57"/>
      <c r="O246" s="58" t="b">
        <f t="shared" si="13"/>
        <v>0</v>
      </c>
    </row>
    <row r="247" spans="13:15" ht="15" x14ac:dyDescent="0.2">
      <c r="M247" s="56"/>
      <c r="N247" s="57"/>
      <c r="O247" s="58" t="b">
        <f t="shared" si="13"/>
        <v>0</v>
      </c>
    </row>
    <row r="248" spans="13:15" ht="15" x14ac:dyDescent="0.2">
      <c r="M248" s="56"/>
      <c r="N248" s="57"/>
      <c r="O248" s="58" t="b">
        <f t="shared" si="13"/>
        <v>0</v>
      </c>
    </row>
    <row r="249" spans="13:15" ht="15" x14ac:dyDescent="0.2">
      <c r="M249" s="56"/>
      <c r="N249" s="57"/>
      <c r="O249" s="58" t="b">
        <f t="shared" si="13"/>
        <v>0</v>
      </c>
    </row>
    <row r="250" spans="13:15" ht="15" x14ac:dyDescent="0.2">
      <c r="M250" s="56"/>
      <c r="N250" s="57"/>
      <c r="O250" s="58" t="b">
        <f t="shared" si="13"/>
        <v>0</v>
      </c>
    </row>
    <row r="251" spans="13:15" ht="15" x14ac:dyDescent="0.2">
      <c r="M251" s="56"/>
      <c r="N251" s="57"/>
      <c r="O251" s="58" t="b">
        <f t="shared" si="13"/>
        <v>0</v>
      </c>
    </row>
    <row r="252" spans="13:15" ht="15" x14ac:dyDescent="0.2">
      <c r="M252" s="56"/>
      <c r="N252" s="57"/>
      <c r="O252" s="54" t="b">
        <f t="shared" si="13"/>
        <v>0</v>
      </c>
    </row>
  </sheetData>
  <sheetProtection sheet="1" objects="1" scenarios="1" selectLockedCells="1"/>
  <mergeCells count="9">
    <mergeCell ref="E23:G23"/>
    <mergeCell ref="A25:C25"/>
    <mergeCell ref="A35:C35"/>
    <mergeCell ref="A1:C2"/>
    <mergeCell ref="E1:G1"/>
    <mergeCell ref="B3:C3"/>
    <mergeCell ref="B4:C4"/>
    <mergeCell ref="A8:C8"/>
    <mergeCell ref="A15:C15"/>
  </mergeCells>
  <pageMargins left="0.39370078740157483" right="0.39370078740157483" top="0.82677165354330717" bottom="0.31496062992125984" header="0.19685039370078741" footer="0.11811023622047245"/>
  <pageSetup paperSize="9" scale="82" orientation="landscape" horizontalDpi="4294967293" verticalDpi="1200" r:id="rId1"/>
  <headerFooter alignWithMargins="0">
    <oddHeader>&amp;C&amp;"Arial,Fett"&amp;14Ermittlung von Auslöseschwellen nach § 12 (1) DepV</oddHeader>
    <oddFooter>&amp;L&amp;G&amp;RVersion 2.1 (2018)</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2"/>
  <sheetViews>
    <sheetView zoomScale="75" workbookViewId="0">
      <selection activeCell="D50" sqref="D50"/>
    </sheetView>
  </sheetViews>
  <sheetFormatPr baseColWidth="10" defaultColWidth="11.5703125" defaultRowHeight="12.75" x14ac:dyDescent="0.2"/>
  <cols>
    <col min="1" max="1" width="25.7109375" style="1" customWidth="1"/>
    <col min="2" max="2" width="14.5703125" style="1" customWidth="1"/>
    <col min="3" max="3" width="21.28515625" style="1" customWidth="1"/>
    <col min="4" max="4" width="5.42578125" style="1" customWidth="1"/>
    <col min="5" max="5" width="11.5703125" style="1"/>
    <col min="6" max="6" width="17.5703125" style="1" customWidth="1"/>
    <col min="7" max="7" width="12.42578125" style="1" bestFit="1" customWidth="1"/>
    <col min="8" max="8" width="17.85546875" style="1" customWidth="1"/>
    <col min="9" max="9" width="11.5703125" style="1"/>
    <col min="10" max="10" width="15.140625" style="1" customWidth="1"/>
    <col min="11" max="11" width="12.42578125" style="1" bestFit="1" customWidth="1"/>
    <col min="12" max="12" width="14.42578125" style="1" customWidth="1"/>
    <col min="13" max="13" width="12.42578125" style="1" customWidth="1"/>
    <col min="14" max="14" width="14.7109375" style="1" customWidth="1"/>
    <col min="15" max="15" width="23.28515625" style="1" customWidth="1"/>
    <col min="16" max="16" width="12" style="1" customWidth="1"/>
    <col min="17" max="17" width="15.28515625" style="1" bestFit="1" customWidth="1"/>
    <col min="18" max="16384" width="11.5703125" style="1"/>
  </cols>
  <sheetData>
    <row r="1" spans="1:21" ht="15" customHeight="1" x14ac:dyDescent="0.25">
      <c r="A1" s="153" t="s">
        <v>82</v>
      </c>
      <c r="B1" s="153"/>
      <c r="C1" s="169"/>
      <c r="D1" s="19"/>
      <c r="E1" s="148" t="s">
        <v>91</v>
      </c>
      <c r="F1" s="148"/>
      <c r="G1" s="148"/>
      <c r="H1" s="19"/>
      <c r="I1" s="19"/>
      <c r="J1" s="19"/>
      <c r="K1" s="19"/>
      <c r="L1" s="19"/>
      <c r="M1" s="19"/>
      <c r="N1" s="35"/>
      <c r="O1" s="19"/>
    </row>
    <row r="2" spans="1:21" ht="15" customHeight="1" x14ac:dyDescent="0.2">
      <c r="A2" s="153"/>
      <c r="B2" s="153"/>
      <c r="C2" s="169"/>
      <c r="D2" s="19"/>
      <c r="E2" s="19"/>
      <c r="F2" s="19"/>
      <c r="G2" s="19"/>
      <c r="H2" s="19"/>
      <c r="I2" s="19"/>
      <c r="J2" s="19"/>
      <c r="K2" s="19"/>
      <c r="L2" s="19"/>
      <c r="M2" s="19"/>
      <c r="N2" s="35"/>
      <c r="O2" s="19"/>
      <c r="P2" s="120" t="s">
        <v>0</v>
      </c>
      <c r="Q2" s="120" t="s">
        <v>34</v>
      </c>
      <c r="R2" s="121" t="s">
        <v>57</v>
      </c>
      <c r="S2" s="121" t="s">
        <v>58</v>
      </c>
    </row>
    <row r="3" spans="1:21" ht="15" customHeight="1" x14ac:dyDescent="0.2">
      <c r="A3" s="117" t="s">
        <v>100</v>
      </c>
      <c r="B3" s="172">
        <f>pH!B3</f>
        <v>0</v>
      </c>
      <c r="C3" s="172"/>
      <c r="D3" s="19"/>
      <c r="E3" s="19"/>
      <c r="F3" s="19"/>
      <c r="G3" s="19"/>
      <c r="H3" s="36"/>
      <c r="I3" s="19"/>
      <c r="J3" s="19"/>
      <c r="K3" s="19"/>
      <c r="L3" s="19"/>
      <c r="M3" s="19"/>
      <c r="N3" s="19"/>
      <c r="O3" s="19"/>
      <c r="P3" s="32"/>
      <c r="Q3" s="33"/>
      <c r="R3" s="28" t="b">
        <f>IF($P3&gt;0,$B$17+$B$18*$P3)</f>
        <v>0</v>
      </c>
      <c r="S3" s="28" t="b">
        <f>IF($P3&gt;0,$Q3-$R3)</f>
        <v>0</v>
      </c>
    </row>
    <row r="4" spans="1:21" ht="15" customHeight="1" x14ac:dyDescent="0.2">
      <c r="A4" s="117" t="s">
        <v>101</v>
      </c>
      <c r="B4" s="170">
        <f>pH!B4</f>
        <v>0</v>
      </c>
      <c r="C4" s="171"/>
      <c r="D4" s="19"/>
      <c r="E4" s="19"/>
      <c r="F4" s="19"/>
      <c r="G4" s="19"/>
      <c r="H4" s="19"/>
      <c r="I4" s="19"/>
      <c r="J4" s="19"/>
      <c r="K4" s="19"/>
      <c r="L4" s="19"/>
      <c r="M4" s="19"/>
      <c r="N4" s="19"/>
      <c r="O4" s="19"/>
      <c r="P4" s="48"/>
      <c r="Q4" s="49"/>
      <c r="R4" s="28" t="b">
        <f t="shared" ref="R4:R47" si="0">IF($P4&gt;0,$B$17+$B$18*$P4)</f>
        <v>0</v>
      </c>
      <c r="S4" s="28" t="b">
        <f t="shared" ref="S4:S47" si="1">IF($P4&gt;0,$Q4-$R4)</f>
        <v>0</v>
      </c>
    </row>
    <row r="5" spans="1:21" ht="15" customHeight="1" x14ac:dyDescent="0.2">
      <c r="A5" s="130" t="s">
        <v>102</v>
      </c>
      <c r="B5" s="29"/>
      <c r="C5" s="19"/>
      <c r="D5" s="19"/>
      <c r="E5" s="19"/>
      <c r="F5" s="19"/>
      <c r="G5" s="19"/>
      <c r="H5" s="19"/>
      <c r="I5" s="19"/>
      <c r="J5" s="19"/>
      <c r="K5" s="19"/>
      <c r="L5" s="19"/>
      <c r="M5" s="19"/>
      <c r="N5" s="19"/>
      <c r="O5" s="19"/>
      <c r="P5" s="32"/>
      <c r="Q5" s="33"/>
      <c r="R5" s="28" t="b">
        <f t="shared" si="0"/>
        <v>0</v>
      </c>
      <c r="S5" s="28" t="b">
        <f t="shared" si="1"/>
        <v>0</v>
      </c>
    </row>
    <row r="6" spans="1:21" ht="15" customHeight="1" x14ac:dyDescent="0.2">
      <c r="A6" s="130" t="s">
        <v>18</v>
      </c>
      <c r="B6" s="34"/>
      <c r="C6" s="19"/>
      <c r="D6" s="19"/>
      <c r="E6" s="19"/>
      <c r="F6" s="19"/>
      <c r="G6" s="19"/>
      <c r="H6" s="19"/>
      <c r="I6" s="19"/>
      <c r="J6" s="19"/>
      <c r="K6" s="19"/>
      <c r="L6" s="19"/>
      <c r="M6" s="19"/>
      <c r="N6" s="19"/>
      <c r="O6" s="19"/>
      <c r="P6" s="32"/>
      <c r="Q6" s="33"/>
      <c r="R6" s="28" t="b">
        <f t="shared" si="0"/>
        <v>0</v>
      </c>
      <c r="S6" s="28" t="b">
        <f t="shared" si="1"/>
        <v>0</v>
      </c>
    </row>
    <row r="7" spans="1:21" ht="15" customHeight="1" x14ac:dyDescent="0.2">
      <c r="A7" s="26"/>
      <c r="B7" s="19"/>
      <c r="C7" s="19"/>
      <c r="D7" s="19"/>
      <c r="E7" s="19"/>
      <c r="F7" s="19"/>
      <c r="G7" s="36"/>
      <c r="H7" s="19"/>
      <c r="I7" s="19"/>
      <c r="J7" s="19"/>
      <c r="K7" s="19"/>
      <c r="L7" s="19"/>
      <c r="M7" s="19"/>
      <c r="N7" s="19"/>
      <c r="O7" s="19"/>
      <c r="P7" s="32"/>
      <c r="Q7" s="33"/>
      <c r="R7" s="28" t="b">
        <f t="shared" si="0"/>
        <v>0</v>
      </c>
      <c r="S7" s="28" t="b">
        <f t="shared" si="1"/>
        <v>0</v>
      </c>
    </row>
    <row r="8" spans="1:21" ht="15" customHeight="1" x14ac:dyDescent="0.25">
      <c r="A8" s="144" t="s">
        <v>12</v>
      </c>
      <c r="B8" s="144"/>
      <c r="C8" s="144"/>
      <c r="D8" s="19"/>
      <c r="E8" s="19"/>
      <c r="F8" s="19"/>
      <c r="G8" s="19"/>
      <c r="H8" s="19"/>
      <c r="I8" s="19"/>
      <c r="J8" s="19"/>
      <c r="K8" s="19"/>
      <c r="L8" s="19"/>
      <c r="M8" s="19"/>
      <c r="N8" s="19"/>
      <c r="O8" s="19"/>
      <c r="P8" s="32"/>
      <c r="Q8" s="33"/>
      <c r="R8" s="28" t="b">
        <f t="shared" si="0"/>
        <v>0</v>
      </c>
      <c r="S8" s="28" t="b">
        <f t="shared" si="1"/>
        <v>0</v>
      </c>
    </row>
    <row r="9" spans="1:21" ht="15" customHeight="1" x14ac:dyDescent="0.2">
      <c r="A9" s="117" t="s">
        <v>11</v>
      </c>
      <c r="B9" s="20">
        <f>COUNT($Q3:$Q252)</f>
        <v>0</v>
      </c>
      <c r="C9" s="50"/>
      <c r="D9" s="19"/>
      <c r="E9" s="19"/>
      <c r="F9" s="19"/>
      <c r="G9" s="19"/>
      <c r="H9" s="19"/>
      <c r="I9" s="19"/>
      <c r="J9" s="19"/>
      <c r="K9" s="19"/>
      <c r="L9" s="19"/>
      <c r="M9" s="19"/>
      <c r="N9" s="19"/>
      <c r="O9" s="19"/>
      <c r="P9" s="32"/>
      <c r="Q9" s="33"/>
      <c r="R9" s="28" t="b">
        <f t="shared" si="0"/>
        <v>0</v>
      </c>
      <c r="S9" s="28" t="b">
        <f t="shared" si="1"/>
        <v>0</v>
      </c>
    </row>
    <row r="10" spans="1:21" ht="15" customHeight="1" x14ac:dyDescent="0.2">
      <c r="A10" s="117" t="s">
        <v>7</v>
      </c>
      <c r="B10" s="21">
        <f>MIN($Q3:$Q252)</f>
        <v>0</v>
      </c>
      <c r="C10" s="50"/>
      <c r="D10" s="19"/>
      <c r="E10" s="19"/>
      <c r="F10" s="19"/>
      <c r="G10" s="19"/>
      <c r="H10" s="19"/>
      <c r="I10" s="19"/>
      <c r="J10" s="19"/>
      <c r="K10" s="19"/>
      <c r="L10" s="19"/>
      <c r="M10" s="19"/>
      <c r="N10" s="19"/>
      <c r="O10" s="19"/>
      <c r="P10" s="32"/>
      <c r="Q10" s="33"/>
      <c r="R10" s="28" t="b">
        <f t="shared" si="0"/>
        <v>0</v>
      </c>
      <c r="S10" s="28" t="b">
        <f t="shared" si="1"/>
        <v>0</v>
      </c>
    </row>
    <row r="11" spans="1:21" ht="15" customHeight="1" x14ac:dyDescent="0.2">
      <c r="A11" s="117" t="s">
        <v>8</v>
      </c>
      <c r="B11" s="21">
        <f>MAX($Q3:$Q252)</f>
        <v>0</v>
      </c>
      <c r="C11" s="50"/>
      <c r="D11" s="19"/>
      <c r="E11" s="19"/>
      <c r="F11" s="19"/>
      <c r="G11" s="19"/>
      <c r="H11" s="19"/>
      <c r="I11" s="19"/>
      <c r="J11" s="19"/>
      <c r="K11" s="19"/>
      <c r="L11" s="19"/>
      <c r="M11" s="19"/>
      <c r="N11" s="19"/>
      <c r="O11" s="19"/>
      <c r="P11" s="32"/>
      <c r="Q11" s="33"/>
      <c r="R11" s="28" t="b">
        <f t="shared" si="0"/>
        <v>0</v>
      </c>
      <c r="S11" s="28" t="b">
        <f t="shared" si="1"/>
        <v>0</v>
      </c>
      <c r="U11" s="3"/>
    </row>
    <row r="12" spans="1:21" ht="15" customHeight="1" x14ac:dyDescent="0.2">
      <c r="A12" s="117" t="s">
        <v>68</v>
      </c>
      <c r="B12" s="21" t="e">
        <f>MEDIAN($Q3:$Q252)</f>
        <v>#NUM!</v>
      </c>
      <c r="C12" s="50"/>
      <c r="D12" s="19"/>
      <c r="E12" s="19"/>
      <c r="F12" s="19"/>
      <c r="G12" s="19"/>
      <c r="H12" s="19"/>
      <c r="I12" s="19"/>
      <c r="J12" s="19"/>
      <c r="K12" s="19"/>
      <c r="L12" s="19"/>
      <c r="M12" s="19"/>
      <c r="N12" s="19"/>
      <c r="O12" s="19"/>
      <c r="P12" s="32"/>
      <c r="Q12" s="33"/>
      <c r="R12" s="28" t="b">
        <f t="shared" si="0"/>
        <v>0</v>
      </c>
      <c r="S12" s="28" t="b">
        <f t="shared" si="1"/>
        <v>0</v>
      </c>
    </row>
    <row r="13" spans="1:21" ht="15" customHeight="1" x14ac:dyDescent="0.2">
      <c r="A13" s="117" t="s">
        <v>69</v>
      </c>
      <c r="B13" s="20" t="e">
        <f>IF(ABS($B$16)&gt;$J$58,"&gt; 99%",IF(ABS($B$16)&gt;$I$58,"&gt; 95%","nicht signifikant"))</f>
        <v>#DIV/0!</v>
      </c>
      <c r="C13" s="50"/>
      <c r="D13" s="19"/>
      <c r="E13" s="19"/>
      <c r="F13" s="19"/>
      <c r="G13" s="19"/>
      <c r="H13" s="19"/>
      <c r="I13" s="19"/>
      <c r="J13" s="36"/>
      <c r="K13" s="19"/>
      <c r="L13" s="19"/>
      <c r="M13" s="19"/>
      <c r="N13" s="19"/>
      <c r="O13" s="19"/>
      <c r="P13" s="32"/>
      <c r="Q13" s="33"/>
      <c r="R13" s="28" t="b">
        <f t="shared" si="0"/>
        <v>0</v>
      </c>
      <c r="S13" s="28" t="b">
        <f t="shared" si="1"/>
        <v>0</v>
      </c>
    </row>
    <row r="14" spans="1:21" ht="15" customHeight="1" x14ac:dyDescent="0.2">
      <c r="A14" s="26"/>
      <c r="B14" s="26"/>
      <c r="C14" s="26"/>
      <c r="D14" s="19"/>
      <c r="E14" s="19"/>
      <c r="F14" s="19"/>
      <c r="G14" s="19"/>
      <c r="H14" s="19"/>
      <c r="I14" s="19"/>
      <c r="J14" s="19"/>
      <c r="K14" s="19"/>
      <c r="L14" s="19"/>
      <c r="M14" s="19"/>
      <c r="N14" s="19"/>
      <c r="O14" s="19"/>
      <c r="P14" s="32"/>
      <c r="Q14" s="33"/>
      <c r="R14" s="28" t="b">
        <f t="shared" si="0"/>
        <v>0</v>
      </c>
      <c r="S14" s="28" t="b">
        <f t="shared" si="1"/>
        <v>0</v>
      </c>
    </row>
    <row r="15" spans="1:21" ht="15" customHeight="1" x14ac:dyDescent="0.25">
      <c r="A15" s="144" t="s">
        <v>42</v>
      </c>
      <c r="B15" s="144"/>
      <c r="C15" s="144"/>
      <c r="D15" s="19"/>
      <c r="E15" s="19"/>
      <c r="F15" s="19"/>
      <c r="G15" s="19"/>
      <c r="H15" s="19"/>
      <c r="I15" s="19"/>
      <c r="J15" s="19"/>
      <c r="K15" s="19"/>
      <c r="L15" s="19"/>
      <c r="M15" s="19"/>
      <c r="N15" s="19"/>
      <c r="O15" s="19"/>
      <c r="P15" s="32"/>
      <c r="Q15" s="33"/>
      <c r="R15" s="28" t="b">
        <f t="shared" si="0"/>
        <v>0</v>
      </c>
      <c r="S15" s="28" t="b">
        <f t="shared" si="1"/>
        <v>0</v>
      </c>
    </row>
    <row r="16" spans="1:21" ht="15" customHeight="1" x14ac:dyDescent="0.2">
      <c r="A16" s="118" t="s">
        <v>83</v>
      </c>
      <c r="B16" s="22" t="e">
        <f>CORREL($Q$3:$Q$252,$P$3:$P$252)</f>
        <v>#DIV/0!</v>
      </c>
      <c r="C16" s="50"/>
      <c r="D16" s="19"/>
      <c r="E16" s="19"/>
      <c r="F16" s="19"/>
      <c r="G16" s="19"/>
      <c r="H16" s="19"/>
      <c r="I16" s="19"/>
      <c r="J16" s="19"/>
      <c r="K16" s="19"/>
      <c r="L16" s="19"/>
      <c r="M16" s="19"/>
      <c r="N16" s="19"/>
      <c r="O16" s="19"/>
      <c r="P16" s="32"/>
      <c r="Q16" s="33"/>
      <c r="R16" s="28" t="b">
        <f t="shared" si="0"/>
        <v>0</v>
      </c>
      <c r="S16" s="28" t="b">
        <f t="shared" si="1"/>
        <v>0</v>
      </c>
    </row>
    <row r="17" spans="1:19" ht="15" customHeight="1" x14ac:dyDescent="0.2">
      <c r="A17" s="118" t="s">
        <v>84</v>
      </c>
      <c r="B17" s="22" t="e">
        <f>INTERCEPT($Q$3:$Q$252,$P$3:$P$252)</f>
        <v>#DIV/0!</v>
      </c>
      <c r="C17" s="50"/>
      <c r="D17" s="19"/>
      <c r="E17" s="19"/>
      <c r="F17" s="19"/>
      <c r="G17" s="19"/>
      <c r="H17" s="19"/>
      <c r="I17" s="19"/>
      <c r="J17" s="19"/>
      <c r="K17" s="19"/>
      <c r="L17" s="19"/>
      <c r="M17" s="19"/>
      <c r="N17" s="19"/>
      <c r="O17" s="19"/>
      <c r="P17" s="32"/>
      <c r="Q17" s="33"/>
      <c r="R17" s="28" t="b">
        <f t="shared" si="0"/>
        <v>0</v>
      </c>
      <c r="S17" s="28" t="b">
        <f t="shared" si="1"/>
        <v>0</v>
      </c>
    </row>
    <row r="18" spans="1:19" ht="15" customHeight="1" x14ac:dyDescent="0.2">
      <c r="A18" s="118" t="s">
        <v>39</v>
      </c>
      <c r="B18" s="22" t="e">
        <f>SLOPE($Q$3:$Q$252,$P$3:$P$252)</f>
        <v>#DIV/0!</v>
      </c>
      <c r="C18" s="50"/>
      <c r="D18" s="19"/>
      <c r="E18" s="19"/>
      <c r="F18" s="19"/>
      <c r="G18" s="19"/>
      <c r="H18" s="19"/>
      <c r="I18" s="19"/>
      <c r="J18" s="37"/>
      <c r="K18" s="19"/>
      <c r="L18" s="19"/>
      <c r="M18" s="19"/>
      <c r="N18" s="19"/>
      <c r="O18" s="19"/>
      <c r="P18" s="32"/>
      <c r="Q18" s="33"/>
      <c r="R18" s="28" t="b">
        <f t="shared" si="0"/>
        <v>0</v>
      </c>
      <c r="S18" s="28" t="b">
        <f t="shared" si="1"/>
        <v>0</v>
      </c>
    </row>
    <row r="19" spans="1:19" ht="15" customHeight="1" x14ac:dyDescent="0.2">
      <c r="A19" s="26"/>
      <c r="B19" s="26"/>
      <c r="C19" s="26"/>
      <c r="D19" s="19"/>
      <c r="E19" s="19"/>
      <c r="F19" s="19"/>
      <c r="G19" s="19"/>
      <c r="H19" s="19"/>
      <c r="I19" s="19"/>
      <c r="J19" s="19"/>
      <c r="K19" s="19"/>
      <c r="L19" s="19"/>
      <c r="M19" s="19"/>
      <c r="N19" s="19"/>
      <c r="O19" s="19"/>
      <c r="P19" s="32"/>
      <c r="Q19" s="33"/>
      <c r="R19" s="28" t="b">
        <f t="shared" si="0"/>
        <v>0</v>
      </c>
      <c r="S19" s="28" t="b">
        <f t="shared" si="1"/>
        <v>0</v>
      </c>
    </row>
    <row r="20" spans="1:19" ht="15" customHeight="1" x14ac:dyDescent="0.25">
      <c r="A20" s="144" t="s">
        <v>63</v>
      </c>
      <c r="B20" s="144"/>
      <c r="C20" s="144"/>
      <c r="D20" s="19"/>
      <c r="E20" s="19"/>
      <c r="F20" s="19"/>
      <c r="G20" s="19"/>
      <c r="H20" s="19"/>
      <c r="I20" s="35"/>
      <c r="J20" s="19"/>
      <c r="K20" s="38"/>
      <c r="L20" s="19"/>
      <c r="M20" s="19"/>
      <c r="N20" s="19"/>
      <c r="O20" s="19"/>
      <c r="P20" s="32"/>
      <c r="Q20" s="33"/>
      <c r="R20" s="28" t="b">
        <f t="shared" si="0"/>
        <v>0</v>
      </c>
      <c r="S20" s="28" t="b">
        <f t="shared" si="1"/>
        <v>0</v>
      </c>
    </row>
    <row r="21" spans="1:19" ht="15" customHeight="1" x14ac:dyDescent="0.2">
      <c r="A21" s="117" t="s">
        <v>7</v>
      </c>
      <c r="B21" s="21">
        <f>MIN($S$3:$S$252)</f>
        <v>0</v>
      </c>
      <c r="C21" s="50"/>
      <c r="D21" s="19"/>
      <c r="E21" s="19"/>
      <c r="F21" s="19"/>
      <c r="G21" s="19"/>
      <c r="H21" s="19"/>
      <c r="I21" s="19"/>
      <c r="J21" s="19"/>
      <c r="K21" s="19"/>
      <c r="L21" s="19"/>
      <c r="M21" s="19"/>
      <c r="N21" s="19"/>
      <c r="O21" s="19"/>
      <c r="P21" s="32"/>
      <c r="Q21" s="33"/>
      <c r="R21" s="28" t="b">
        <f t="shared" si="0"/>
        <v>0</v>
      </c>
      <c r="S21" s="28" t="b">
        <f t="shared" si="1"/>
        <v>0</v>
      </c>
    </row>
    <row r="22" spans="1:19" ht="15" customHeight="1" x14ac:dyDescent="0.2">
      <c r="A22" s="117" t="s">
        <v>8</v>
      </c>
      <c r="B22" s="21">
        <f>MAX($S$3:$S$252)</f>
        <v>0</v>
      </c>
      <c r="C22" s="50"/>
      <c r="D22" s="19"/>
      <c r="E22" s="19"/>
      <c r="F22" s="19"/>
      <c r="G22" s="19"/>
      <c r="H22" s="19"/>
      <c r="I22" s="19"/>
      <c r="J22" s="19"/>
      <c r="K22" s="19"/>
      <c r="L22" s="19"/>
      <c r="M22" s="19"/>
      <c r="N22" s="19"/>
      <c r="O22" s="19"/>
      <c r="P22" s="32"/>
      <c r="Q22" s="33"/>
      <c r="R22" s="28" t="b">
        <f t="shared" si="0"/>
        <v>0</v>
      </c>
      <c r="S22" s="28" t="b">
        <f t="shared" si="1"/>
        <v>0</v>
      </c>
    </row>
    <row r="23" spans="1:19" ht="15" customHeight="1" x14ac:dyDescent="0.2">
      <c r="A23" s="117" t="s">
        <v>68</v>
      </c>
      <c r="B23" s="21" t="e">
        <f>MEDIAN($S$3:$S$252)</f>
        <v>#NUM!</v>
      </c>
      <c r="C23" s="50"/>
      <c r="D23" s="19"/>
      <c r="E23" s="19"/>
      <c r="F23" s="19"/>
      <c r="G23" s="19"/>
      <c r="H23" s="19"/>
      <c r="I23" s="19"/>
      <c r="J23" s="19"/>
      <c r="K23" s="19"/>
      <c r="L23" s="19"/>
      <c r="M23" s="19"/>
      <c r="N23" s="19"/>
      <c r="O23" s="19"/>
      <c r="P23" s="32"/>
      <c r="Q23" s="33"/>
      <c r="R23" s="28" t="b">
        <f t="shared" si="0"/>
        <v>0</v>
      </c>
      <c r="S23" s="28" t="b">
        <f t="shared" si="1"/>
        <v>0</v>
      </c>
    </row>
    <row r="24" spans="1:19" ht="15" customHeight="1" x14ac:dyDescent="0.2">
      <c r="A24" s="117" t="s">
        <v>73</v>
      </c>
      <c r="B24" s="21" t="e">
        <f>AVERAGE($S$3:$S$252)</f>
        <v>#DIV/0!</v>
      </c>
      <c r="C24" s="50"/>
      <c r="D24" s="19"/>
      <c r="E24" s="19"/>
      <c r="F24" s="19"/>
      <c r="G24" s="19"/>
      <c r="H24" s="19"/>
      <c r="I24" s="19"/>
      <c r="J24" s="19"/>
      <c r="K24" s="19"/>
      <c r="L24" s="19"/>
      <c r="M24" s="19"/>
      <c r="N24" s="19"/>
      <c r="O24" s="19"/>
      <c r="P24" s="32"/>
      <c r="Q24" s="33"/>
      <c r="R24" s="28" t="b">
        <f t="shared" si="0"/>
        <v>0</v>
      </c>
      <c r="S24" s="28" t="b">
        <f t="shared" si="1"/>
        <v>0</v>
      </c>
    </row>
    <row r="25" spans="1:19" ht="15" customHeight="1" x14ac:dyDescent="0.2">
      <c r="A25" s="117" t="s">
        <v>75</v>
      </c>
      <c r="B25" s="23" t="e">
        <f>STDEV($S$3:$S$252)</f>
        <v>#DIV/0!</v>
      </c>
      <c r="C25" s="50"/>
      <c r="D25" s="19"/>
      <c r="E25" s="19"/>
      <c r="F25" s="19"/>
      <c r="G25" s="19"/>
      <c r="H25" s="19"/>
      <c r="I25" s="19"/>
      <c r="J25" s="19"/>
      <c r="K25" s="19"/>
      <c r="L25" s="19"/>
      <c r="M25" s="19"/>
      <c r="N25" s="19"/>
      <c r="O25" s="19"/>
      <c r="P25" s="32"/>
      <c r="Q25" s="33"/>
      <c r="R25" s="28" t="b">
        <f t="shared" si="0"/>
        <v>0</v>
      </c>
      <c r="S25" s="28" t="b">
        <f t="shared" si="1"/>
        <v>0</v>
      </c>
    </row>
    <row r="26" spans="1:19" ht="15" customHeight="1" x14ac:dyDescent="0.25">
      <c r="A26" s="117" t="s">
        <v>92</v>
      </c>
      <c r="B26" s="24" t="e">
        <f>((NORMINV(0.83,B24,B25)-B23)-(B23-NORMINV(0.17,B24,B25)))/(NORMINV(0.83,B24,B25)-NORMINV(0.17,B24,B25))</f>
        <v>#DIV/0!</v>
      </c>
      <c r="C26" s="50"/>
      <c r="D26" s="19"/>
      <c r="E26" s="148"/>
      <c r="F26" s="148"/>
      <c r="G26" s="148"/>
      <c r="H26" s="19"/>
      <c r="I26" s="19"/>
      <c r="J26" s="19"/>
      <c r="K26" s="19"/>
      <c r="L26" s="19"/>
      <c r="M26" s="19"/>
      <c r="N26" s="19"/>
      <c r="O26" s="19"/>
      <c r="P26" s="32"/>
      <c r="Q26" s="33"/>
      <c r="R26" s="28" t="b">
        <f t="shared" si="0"/>
        <v>0</v>
      </c>
      <c r="S26" s="28" t="b">
        <f t="shared" si="1"/>
        <v>0</v>
      </c>
    </row>
    <row r="27" spans="1:19" ht="15" customHeight="1" x14ac:dyDescent="0.2">
      <c r="A27" s="117" t="s">
        <v>85</v>
      </c>
      <c r="B27" s="21" t="e">
        <f>NORMINV(0.95,0,B25)</f>
        <v>#DIV/0!</v>
      </c>
      <c r="C27" s="50"/>
      <c r="D27" s="19"/>
      <c r="E27" s="19"/>
      <c r="F27" s="19"/>
      <c r="G27" s="19"/>
      <c r="H27" s="19"/>
      <c r="I27" s="19"/>
      <c r="J27" s="19"/>
      <c r="K27" s="19"/>
      <c r="L27" s="19"/>
      <c r="M27" s="19"/>
      <c r="N27" s="19"/>
      <c r="O27" s="19"/>
      <c r="P27" s="32"/>
      <c r="Q27" s="33"/>
      <c r="R27" s="28" t="b">
        <f t="shared" si="0"/>
        <v>0</v>
      </c>
      <c r="S27" s="28" t="b">
        <f t="shared" si="1"/>
        <v>0</v>
      </c>
    </row>
    <row r="28" spans="1:19" ht="15" customHeight="1" x14ac:dyDescent="0.2">
      <c r="A28" s="117" t="s">
        <v>86</v>
      </c>
      <c r="B28" s="21" t="e">
        <f>NORMINV(0.98,0,B25)</f>
        <v>#DIV/0!</v>
      </c>
      <c r="C28" s="50"/>
      <c r="D28" s="19"/>
      <c r="E28" s="19"/>
      <c r="F28" s="19"/>
      <c r="G28" s="19"/>
      <c r="H28" s="19"/>
      <c r="I28" s="19"/>
      <c r="J28" s="19"/>
      <c r="K28" s="19"/>
      <c r="L28" s="19"/>
      <c r="M28" s="19"/>
      <c r="N28" s="19"/>
      <c r="O28" s="19"/>
      <c r="P28" s="32"/>
      <c r="Q28" s="33"/>
      <c r="R28" s="28" t="b">
        <f t="shared" si="0"/>
        <v>0</v>
      </c>
      <c r="S28" s="28" t="b">
        <f t="shared" si="1"/>
        <v>0</v>
      </c>
    </row>
    <row r="29" spans="1:19" ht="15" customHeight="1" x14ac:dyDescent="0.2">
      <c r="A29" s="117" t="s">
        <v>44</v>
      </c>
      <c r="B29" s="20" t="e">
        <f>IF(((B22-B21)/B25)&gt;INDEX(XX!B4:'XX'!B150,B9-3),"ja","nein")</f>
        <v>#DIV/0!</v>
      </c>
      <c r="C29" s="50"/>
      <c r="D29" s="19"/>
      <c r="E29" s="19"/>
      <c r="F29" s="19"/>
      <c r="G29" s="19"/>
      <c r="H29" s="19"/>
      <c r="I29" s="19"/>
      <c r="J29" s="19"/>
      <c r="K29" s="19"/>
      <c r="L29" s="19"/>
      <c r="M29" s="19"/>
      <c r="N29" s="19"/>
      <c r="O29" s="19"/>
      <c r="P29" s="32"/>
      <c r="Q29" s="33"/>
      <c r="R29" s="28" t="b">
        <f t="shared" si="0"/>
        <v>0</v>
      </c>
      <c r="S29" s="28" t="b">
        <f t="shared" si="1"/>
        <v>0</v>
      </c>
    </row>
    <row r="30" spans="1:19" ht="15" customHeight="1" x14ac:dyDescent="0.2">
      <c r="A30" s="26"/>
      <c r="B30" s="26"/>
      <c r="C30" s="26"/>
      <c r="D30" s="19"/>
      <c r="E30" s="47"/>
      <c r="F30" s="19"/>
      <c r="G30" s="19"/>
      <c r="H30" s="19"/>
      <c r="I30" s="19"/>
      <c r="J30" s="19"/>
      <c r="K30" s="19"/>
      <c r="L30" s="19"/>
      <c r="M30" s="19"/>
      <c r="N30" s="19"/>
      <c r="O30" s="19"/>
      <c r="P30" s="32"/>
      <c r="Q30" s="33"/>
      <c r="R30" s="28" t="b">
        <f t="shared" si="0"/>
        <v>0</v>
      </c>
      <c r="S30" s="28" t="b">
        <f t="shared" si="1"/>
        <v>0</v>
      </c>
    </row>
    <row r="31" spans="1:19" ht="15" customHeight="1" x14ac:dyDescent="0.25">
      <c r="A31" s="168" t="s">
        <v>88</v>
      </c>
      <c r="B31" s="168"/>
      <c r="C31" s="168"/>
      <c r="D31" s="19"/>
      <c r="E31" s="19"/>
      <c r="F31" s="19"/>
      <c r="G31" s="19"/>
      <c r="H31" s="19"/>
      <c r="I31" s="19"/>
      <c r="J31" s="19"/>
      <c r="K31" s="19"/>
      <c r="L31" s="19"/>
      <c r="M31" s="19"/>
      <c r="N31" s="19"/>
      <c r="O31" s="19"/>
      <c r="P31" s="32"/>
      <c r="Q31" s="33"/>
      <c r="R31" s="28" t="b">
        <f t="shared" si="0"/>
        <v>0</v>
      </c>
      <c r="S31" s="28" t="b">
        <f t="shared" si="1"/>
        <v>0</v>
      </c>
    </row>
    <row r="32" spans="1:19" ht="15" customHeight="1" x14ac:dyDescent="0.2">
      <c r="A32" s="130" t="s">
        <v>89</v>
      </c>
      <c r="B32" s="30">
        <v>0</v>
      </c>
      <c r="C32" s="18"/>
      <c r="D32" s="19"/>
      <c r="E32" s="19"/>
      <c r="F32" s="19"/>
      <c r="G32" s="19"/>
      <c r="H32" s="19"/>
      <c r="I32" s="19"/>
      <c r="J32" s="19"/>
      <c r="K32" s="19"/>
      <c r="L32" s="19"/>
      <c r="M32" s="19"/>
      <c r="N32" s="19"/>
      <c r="O32" s="19"/>
      <c r="P32" s="32"/>
      <c r="Q32" s="33"/>
      <c r="R32" s="28" t="b">
        <f t="shared" si="0"/>
        <v>0</v>
      </c>
      <c r="S32" s="28" t="b">
        <f t="shared" si="1"/>
        <v>0</v>
      </c>
    </row>
    <row r="33" spans="1:19" ht="15" customHeight="1" x14ac:dyDescent="0.2">
      <c r="A33" s="26"/>
      <c r="B33" s="26"/>
      <c r="C33" s="26"/>
      <c r="D33" s="19"/>
      <c r="E33" s="19"/>
      <c r="F33" s="19"/>
      <c r="G33" s="19"/>
      <c r="H33" s="19"/>
      <c r="I33" s="19"/>
      <c r="J33" s="19"/>
      <c r="K33" s="19"/>
      <c r="L33" s="19"/>
      <c r="M33" s="19"/>
      <c r="N33" s="19"/>
      <c r="O33" s="19"/>
      <c r="P33" s="32"/>
      <c r="Q33" s="33"/>
      <c r="R33" s="28" t="b">
        <f t="shared" si="0"/>
        <v>0</v>
      </c>
      <c r="S33" s="28" t="b">
        <f t="shared" si="1"/>
        <v>0</v>
      </c>
    </row>
    <row r="34" spans="1:19" ht="15" customHeight="1" x14ac:dyDescent="0.25">
      <c r="A34" s="144" t="s">
        <v>59</v>
      </c>
      <c r="B34" s="144"/>
      <c r="C34" s="144"/>
      <c r="D34" s="19"/>
      <c r="E34" s="119" t="s">
        <v>60</v>
      </c>
      <c r="F34" s="19"/>
      <c r="G34" s="19"/>
      <c r="H34" s="19"/>
      <c r="I34" s="19"/>
      <c r="J34" s="19"/>
      <c r="K34" s="19"/>
      <c r="L34" s="19"/>
      <c r="M34" s="19"/>
      <c r="N34" s="19"/>
      <c r="O34" s="19"/>
      <c r="P34" s="32"/>
      <c r="Q34" s="33"/>
      <c r="R34" s="28" t="b">
        <f t="shared" si="0"/>
        <v>0</v>
      </c>
      <c r="S34" s="28" t="b">
        <f t="shared" si="1"/>
        <v>0</v>
      </c>
    </row>
    <row r="35" spans="1:19" ht="15" customHeight="1" x14ac:dyDescent="0.2">
      <c r="A35" s="130" t="s">
        <v>87</v>
      </c>
      <c r="B35" s="31"/>
      <c r="C35" s="31"/>
      <c r="D35" s="19"/>
      <c r="E35" s="19"/>
      <c r="F35" s="19"/>
      <c r="G35" s="19"/>
      <c r="H35" s="19"/>
      <c r="I35" s="19"/>
      <c r="J35" s="19"/>
      <c r="K35" s="19"/>
      <c r="L35" s="19"/>
      <c r="M35" s="19"/>
      <c r="N35" s="19"/>
      <c r="O35" s="19"/>
      <c r="P35" s="32"/>
      <c r="Q35" s="33"/>
      <c r="R35" s="28" t="b">
        <f t="shared" si="0"/>
        <v>0</v>
      </c>
      <c r="S35" s="28" t="b">
        <f t="shared" si="1"/>
        <v>0</v>
      </c>
    </row>
    <row r="36" spans="1:19" ht="15" customHeight="1" x14ac:dyDescent="0.2">
      <c r="A36" s="117" t="s">
        <v>54</v>
      </c>
      <c r="B36" s="25">
        <f>B35-B32</f>
        <v>0</v>
      </c>
      <c r="C36" s="25">
        <f>C35-B32</f>
        <v>0</v>
      </c>
      <c r="D36" s="19"/>
      <c r="E36" s="19"/>
      <c r="F36" s="19"/>
      <c r="G36" s="19"/>
      <c r="H36" s="19"/>
      <c r="I36" s="19"/>
      <c r="J36" s="19"/>
      <c r="K36" s="19"/>
      <c r="L36" s="19"/>
      <c r="M36" s="19"/>
      <c r="N36" s="19"/>
      <c r="O36" s="19"/>
      <c r="P36" s="32"/>
      <c r="Q36" s="33"/>
      <c r="R36" s="28" t="b">
        <f t="shared" si="0"/>
        <v>0</v>
      </c>
      <c r="S36" s="28" t="b">
        <f t="shared" si="1"/>
        <v>0</v>
      </c>
    </row>
    <row r="37" spans="1:19" ht="15" customHeight="1" x14ac:dyDescent="0.2">
      <c r="A37" s="26"/>
      <c r="B37" s="26"/>
      <c r="C37" s="27"/>
      <c r="D37" s="19"/>
      <c r="E37" s="19"/>
      <c r="F37" s="19"/>
      <c r="G37" s="19"/>
      <c r="H37" s="19"/>
      <c r="I37" s="19"/>
      <c r="J37" s="19"/>
      <c r="K37" s="19"/>
      <c r="L37" s="19"/>
      <c r="M37" s="19"/>
      <c r="N37" s="19"/>
      <c r="O37" s="19"/>
      <c r="P37" s="32"/>
      <c r="Q37" s="33"/>
      <c r="R37" s="28" t="b">
        <f t="shared" si="0"/>
        <v>0</v>
      </c>
      <c r="S37" s="28" t="b">
        <f t="shared" si="1"/>
        <v>0</v>
      </c>
    </row>
    <row r="38" spans="1:19" ht="15" customHeight="1" x14ac:dyDescent="0.25">
      <c r="A38" s="144" t="s">
        <v>90</v>
      </c>
      <c r="B38" s="144"/>
      <c r="C38" s="144"/>
      <c r="D38" s="19"/>
      <c r="E38" s="19"/>
      <c r="F38" s="19"/>
      <c r="G38" s="19"/>
      <c r="H38" s="19"/>
      <c r="I38" s="19"/>
      <c r="J38" s="19"/>
      <c r="K38" s="19"/>
      <c r="L38" s="19"/>
      <c r="M38" s="19"/>
      <c r="N38" s="19"/>
      <c r="O38" s="19"/>
      <c r="P38" s="32"/>
      <c r="Q38" s="33"/>
      <c r="R38" s="28" t="b">
        <f t="shared" si="0"/>
        <v>0</v>
      </c>
      <c r="S38" s="28" t="b">
        <f t="shared" si="1"/>
        <v>0</v>
      </c>
    </row>
    <row r="39" spans="1:19" ht="15" customHeight="1" x14ac:dyDescent="0.2">
      <c r="A39" s="118" t="s">
        <v>67</v>
      </c>
      <c r="B39" s="21" t="e">
        <f>MAX($B$17+$B$18*$B36+$B$28+0.5*$B$6,$B$17+$B$18*$C36+$B$28+0.5*$B$6,$B$6)</f>
        <v>#DIV/0!</v>
      </c>
      <c r="C39" s="50"/>
      <c r="D39" s="19"/>
      <c r="E39" s="19"/>
      <c r="F39" s="19"/>
      <c r="G39" s="19"/>
      <c r="H39" s="19"/>
      <c r="I39" s="19"/>
      <c r="J39" s="19"/>
      <c r="K39" s="19"/>
      <c r="L39" s="19"/>
      <c r="M39" s="19"/>
      <c r="N39" s="19"/>
      <c r="O39" s="19"/>
      <c r="P39" s="32"/>
      <c r="Q39" s="33"/>
      <c r="R39" s="28" t="b">
        <f t="shared" si="0"/>
        <v>0</v>
      </c>
      <c r="S39" s="28" t="b">
        <f t="shared" si="1"/>
        <v>0</v>
      </c>
    </row>
    <row r="40" spans="1:19" ht="15" x14ac:dyDescent="0.2">
      <c r="A40" s="118" t="s">
        <v>61</v>
      </c>
      <c r="B40" s="21" t="e">
        <f>INDEX($R$3:$R$252,B9)+$B$28+0.5*$B$6</f>
        <v>#DIV/0!</v>
      </c>
      <c r="C40" s="50"/>
      <c r="D40" s="19"/>
      <c r="E40" s="19"/>
      <c r="F40" s="19"/>
      <c r="G40" s="19"/>
      <c r="H40" s="19"/>
      <c r="I40" s="19"/>
      <c r="J40" s="19"/>
      <c r="K40" s="19"/>
      <c r="L40" s="19"/>
      <c r="M40" s="19"/>
      <c r="N40" s="19"/>
      <c r="O40" s="19"/>
      <c r="P40" s="32"/>
      <c r="Q40" s="33"/>
      <c r="R40" s="28" t="b">
        <f t="shared" si="0"/>
        <v>0</v>
      </c>
      <c r="S40" s="28" t="b">
        <f t="shared" si="1"/>
        <v>0</v>
      </c>
    </row>
    <row r="41" spans="1:19" ht="15.75" x14ac:dyDescent="0.25">
      <c r="A41" s="116" t="s">
        <v>81</v>
      </c>
      <c r="B41" s="95" t="e">
        <f>IF($B$18&gt;0,B39,MAX(B40,B39))</f>
        <v>#DIV/0!</v>
      </c>
      <c r="C41" s="51"/>
      <c r="D41" s="19"/>
      <c r="E41" s="19"/>
      <c r="F41" s="19"/>
      <c r="G41" s="19"/>
      <c r="H41" s="19"/>
      <c r="I41" s="19"/>
      <c r="J41" s="19"/>
      <c r="K41" s="19"/>
      <c r="L41" s="19"/>
      <c r="M41" s="19"/>
      <c r="N41" s="19"/>
      <c r="O41" s="19"/>
      <c r="P41" s="32"/>
      <c r="Q41" s="33"/>
      <c r="R41" s="28" t="b">
        <f t="shared" si="0"/>
        <v>0</v>
      </c>
      <c r="S41" s="28" t="b">
        <f t="shared" si="1"/>
        <v>0</v>
      </c>
    </row>
    <row r="42" spans="1:19" x14ac:dyDescent="0.2">
      <c r="A42" s="19"/>
      <c r="B42" s="19"/>
      <c r="C42" s="19"/>
      <c r="D42" s="19"/>
      <c r="E42" s="19"/>
      <c r="F42" s="19"/>
      <c r="G42" s="19"/>
      <c r="H42" s="19"/>
      <c r="I42" s="19"/>
      <c r="J42" s="19"/>
      <c r="K42" s="19"/>
      <c r="L42" s="19"/>
      <c r="M42" s="19"/>
      <c r="N42" s="19"/>
      <c r="O42" s="19"/>
      <c r="P42" s="32"/>
      <c r="Q42" s="33"/>
      <c r="R42" s="28" t="b">
        <f t="shared" si="0"/>
        <v>0</v>
      </c>
      <c r="S42" s="28" t="b">
        <f t="shared" si="1"/>
        <v>0</v>
      </c>
    </row>
    <row r="43" spans="1:19" x14ac:dyDescent="0.2">
      <c r="A43" s="19"/>
      <c r="B43" s="19"/>
      <c r="C43" s="19"/>
      <c r="D43" s="19"/>
      <c r="E43" s="19"/>
      <c r="F43" s="19"/>
      <c r="G43" s="19"/>
      <c r="H43" s="19"/>
      <c r="I43" s="19"/>
      <c r="J43" s="19"/>
      <c r="K43" s="19"/>
      <c r="L43" s="19"/>
      <c r="M43" s="19"/>
      <c r="N43" s="19"/>
      <c r="O43" s="19"/>
      <c r="P43" s="32"/>
      <c r="Q43" s="33"/>
      <c r="R43" s="28" t="b">
        <f t="shared" si="0"/>
        <v>0</v>
      </c>
      <c r="S43" s="28" t="b">
        <f t="shared" si="1"/>
        <v>0</v>
      </c>
    </row>
    <row r="44" spans="1:19" x14ac:dyDescent="0.2">
      <c r="A44" s="19"/>
      <c r="B44" s="19"/>
      <c r="C44" s="19"/>
      <c r="D44" s="19"/>
      <c r="E44" s="19"/>
      <c r="F44" s="19"/>
      <c r="G44" s="19"/>
      <c r="H44" s="19"/>
      <c r="I44" s="19"/>
      <c r="J44" s="19"/>
      <c r="K44" s="19"/>
      <c r="L44" s="19"/>
      <c r="M44" s="19"/>
      <c r="N44" s="19"/>
      <c r="O44" s="19"/>
      <c r="P44" s="32"/>
      <c r="Q44" s="33"/>
      <c r="R44" s="28" t="b">
        <f t="shared" si="0"/>
        <v>0</v>
      </c>
      <c r="S44" s="28" t="b">
        <f t="shared" si="1"/>
        <v>0</v>
      </c>
    </row>
    <row r="45" spans="1:19" x14ac:dyDescent="0.2">
      <c r="A45" s="19"/>
      <c r="B45" s="19"/>
      <c r="C45" s="19"/>
      <c r="D45" s="19"/>
      <c r="E45" s="19"/>
      <c r="F45" s="19"/>
      <c r="G45" s="19"/>
      <c r="H45" s="19"/>
      <c r="I45" s="19"/>
      <c r="J45" s="19"/>
      <c r="K45" s="19"/>
      <c r="L45" s="19"/>
      <c r="M45" s="19"/>
      <c r="N45" s="19"/>
      <c r="O45" s="19"/>
      <c r="P45" s="32"/>
      <c r="Q45" s="33"/>
      <c r="R45" s="28" t="b">
        <f t="shared" si="0"/>
        <v>0</v>
      </c>
      <c r="S45" s="28" t="b">
        <f t="shared" si="1"/>
        <v>0</v>
      </c>
    </row>
    <row r="46" spans="1:19" x14ac:dyDescent="0.2">
      <c r="A46" s="19"/>
      <c r="B46" s="37"/>
      <c r="C46" s="19"/>
      <c r="D46" s="19"/>
      <c r="E46" s="19"/>
      <c r="F46" s="19"/>
      <c r="G46" s="19"/>
      <c r="H46" s="19"/>
      <c r="I46" s="19"/>
      <c r="J46" s="19"/>
      <c r="K46" s="19"/>
      <c r="L46" s="19"/>
      <c r="M46" s="19"/>
      <c r="N46" s="19"/>
      <c r="O46" s="19"/>
      <c r="P46" s="32"/>
      <c r="Q46" s="33"/>
      <c r="R46" s="28" t="b">
        <f t="shared" si="0"/>
        <v>0</v>
      </c>
      <c r="S46" s="28" t="b">
        <f t="shared" si="1"/>
        <v>0</v>
      </c>
    </row>
    <row r="47" spans="1:19" x14ac:dyDescent="0.2">
      <c r="A47" s="19"/>
      <c r="B47" s="19"/>
      <c r="C47" s="19"/>
      <c r="D47" s="19"/>
      <c r="E47" s="19"/>
      <c r="F47" s="19"/>
      <c r="G47" s="19"/>
      <c r="H47" s="19"/>
      <c r="I47" s="19"/>
      <c r="J47" s="19"/>
      <c r="K47" s="19"/>
      <c r="L47" s="19"/>
      <c r="M47" s="19"/>
      <c r="N47" s="19"/>
      <c r="O47" s="19"/>
      <c r="P47" s="32"/>
      <c r="Q47" s="33"/>
      <c r="R47" s="28" t="b">
        <f t="shared" si="0"/>
        <v>0</v>
      </c>
      <c r="S47" s="28" t="b">
        <f t="shared" si="1"/>
        <v>0</v>
      </c>
    </row>
    <row r="48" spans="1:19" x14ac:dyDescent="0.2">
      <c r="A48" s="19"/>
      <c r="B48" s="19"/>
      <c r="C48" s="19"/>
      <c r="D48" s="19"/>
      <c r="E48" s="19"/>
      <c r="F48" s="19"/>
      <c r="G48" s="19"/>
      <c r="H48" s="19"/>
      <c r="I48" s="19"/>
      <c r="J48" s="19"/>
      <c r="K48" s="19"/>
      <c r="L48" s="19"/>
      <c r="M48" s="19"/>
      <c r="N48" s="19"/>
      <c r="O48" s="19"/>
      <c r="P48" s="32"/>
      <c r="Q48" s="33"/>
      <c r="R48" s="28" t="b">
        <f t="shared" ref="R48:R79" si="2">IF($P48&gt;0,$B$17+$B$18*$P48)</f>
        <v>0</v>
      </c>
      <c r="S48" s="28" t="b">
        <f t="shared" ref="S48:S79" si="3">IF($P48&gt;0,$Q48-$R48)</f>
        <v>0</v>
      </c>
    </row>
    <row r="49" spans="1:19" x14ac:dyDescent="0.2">
      <c r="A49" s="19"/>
      <c r="B49" s="19"/>
      <c r="C49" s="19"/>
      <c r="D49" s="19"/>
      <c r="E49" s="19"/>
      <c r="F49" s="19"/>
      <c r="G49" s="19"/>
      <c r="H49" s="19"/>
      <c r="I49" s="19"/>
      <c r="J49" s="19"/>
      <c r="K49" s="19"/>
      <c r="L49" s="19"/>
      <c r="M49" s="19"/>
      <c r="N49" s="19"/>
      <c r="O49" s="19"/>
      <c r="P49" s="32"/>
      <c r="Q49" s="33"/>
      <c r="R49" s="28" t="b">
        <f t="shared" si="2"/>
        <v>0</v>
      </c>
      <c r="S49" s="28" t="b">
        <f t="shared" si="3"/>
        <v>0</v>
      </c>
    </row>
    <row r="50" spans="1:19" x14ac:dyDescent="0.2">
      <c r="A50" s="19"/>
      <c r="B50" s="19"/>
      <c r="C50" s="19"/>
      <c r="D50" s="19"/>
      <c r="E50" s="19"/>
      <c r="F50" s="19"/>
      <c r="G50" s="19"/>
      <c r="H50" s="19"/>
      <c r="I50" s="19"/>
      <c r="J50" s="19"/>
      <c r="K50" s="19"/>
      <c r="L50" s="19"/>
      <c r="M50" s="19"/>
      <c r="N50" s="19"/>
      <c r="O50" s="19"/>
      <c r="P50" s="32"/>
      <c r="Q50" s="33"/>
      <c r="R50" s="28" t="b">
        <f t="shared" si="2"/>
        <v>0</v>
      </c>
      <c r="S50" s="28" t="b">
        <f t="shared" si="3"/>
        <v>0</v>
      </c>
    </row>
    <row r="51" spans="1:19" x14ac:dyDescent="0.2">
      <c r="A51" s="19"/>
      <c r="B51" s="19"/>
      <c r="C51" s="19"/>
      <c r="D51" s="19"/>
      <c r="E51" s="19"/>
      <c r="F51" s="19"/>
      <c r="G51" s="19"/>
      <c r="H51" s="19"/>
      <c r="I51" s="19"/>
      <c r="J51" s="19"/>
      <c r="K51" s="19"/>
      <c r="L51" s="19"/>
      <c r="M51" s="19"/>
      <c r="N51" s="19"/>
      <c r="O51" s="19"/>
      <c r="P51" s="32"/>
      <c r="Q51" s="33"/>
      <c r="R51" s="28" t="b">
        <f t="shared" si="2"/>
        <v>0</v>
      </c>
      <c r="S51" s="28" t="b">
        <f t="shared" si="3"/>
        <v>0</v>
      </c>
    </row>
    <row r="52" spans="1:19" x14ac:dyDescent="0.2">
      <c r="A52" s="19"/>
      <c r="B52" s="19"/>
      <c r="C52" s="19"/>
      <c r="D52" s="19"/>
      <c r="E52" s="19"/>
      <c r="F52" s="19"/>
      <c r="G52" s="19"/>
      <c r="H52" s="19"/>
      <c r="I52" s="19"/>
      <c r="J52" s="19"/>
      <c r="K52" s="19"/>
      <c r="L52" s="19"/>
      <c r="M52" s="19"/>
      <c r="N52" s="19"/>
      <c r="O52" s="19"/>
      <c r="P52" s="32"/>
      <c r="Q52" s="33"/>
      <c r="R52" s="28" t="b">
        <f t="shared" si="2"/>
        <v>0</v>
      </c>
      <c r="S52" s="28" t="b">
        <f t="shared" si="3"/>
        <v>0</v>
      </c>
    </row>
    <row r="53" spans="1:19" x14ac:dyDescent="0.2">
      <c r="A53" s="19"/>
      <c r="B53" s="19"/>
      <c r="C53" s="19"/>
      <c r="D53" s="19"/>
      <c r="E53" s="19"/>
      <c r="F53" s="19"/>
      <c r="G53" s="19"/>
      <c r="H53" s="19"/>
      <c r="I53" s="19"/>
      <c r="J53" s="19"/>
      <c r="K53" s="19"/>
      <c r="L53" s="19"/>
      <c r="M53" s="19"/>
      <c r="N53" s="19"/>
      <c r="O53" s="19"/>
      <c r="P53" s="32"/>
      <c r="Q53" s="33"/>
      <c r="R53" s="28" t="b">
        <f t="shared" si="2"/>
        <v>0</v>
      </c>
      <c r="S53" s="28" t="b">
        <f t="shared" si="3"/>
        <v>0</v>
      </c>
    </row>
    <row r="54" spans="1:19" x14ac:dyDescent="0.2">
      <c r="A54" s="19"/>
      <c r="B54" s="19"/>
      <c r="C54" s="19"/>
      <c r="D54" s="19"/>
      <c r="E54" s="19"/>
      <c r="F54" s="19"/>
      <c r="G54" s="19"/>
      <c r="H54" s="19"/>
      <c r="I54" s="19"/>
      <c r="J54" s="19"/>
      <c r="K54" s="19"/>
      <c r="L54" s="19"/>
      <c r="M54" s="19"/>
      <c r="N54" s="19"/>
      <c r="O54" s="19"/>
      <c r="P54" s="32"/>
      <c r="Q54" s="33"/>
      <c r="R54" s="28" t="b">
        <f t="shared" si="2"/>
        <v>0</v>
      </c>
      <c r="S54" s="28" t="b">
        <f t="shared" si="3"/>
        <v>0</v>
      </c>
    </row>
    <row r="55" spans="1:19" x14ac:dyDescent="0.2">
      <c r="A55" s="19"/>
      <c r="B55" s="19"/>
      <c r="C55" s="19"/>
      <c r="D55" s="19"/>
      <c r="E55" s="19"/>
      <c r="F55" s="19"/>
      <c r="G55" s="19"/>
      <c r="H55" s="19"/>
      <c r="I55" s="19"/>
      <c r="J55" s="19"/>
      <c r="K55" s="19"/>
      <c r="L55" s="19"/>
      <c r="M55" s="19"/>
      <c r="N55" s="19"/>
      <c r="O55" s="19"/>
      <c r="P55" s="32"/>
      <c r="Q55" s="33"/>
      <c r="R55" s="28" t="b">
        <f t="shared" si="2"/>
        <v>0</v>
      </c>
      <c r="S55" s="28" t="b">
        <f t="shared" si="3"/>
        <v>0</v>
      </c>
    </row>
    <row r="56" spans="1:19" x14ac:dyDescent="0.2">
      <c r="A56" s="19"/>
      <c r="B56" s="19"/>
      <c r="C56" s="19"/>
      <c r="D56" s="19"/>
      <c r="E56" s="19"/>
      <c r="F56" s="19"/>
      <c r="G56" s="19"/>
      <c r="H56" s="19"/>
      <c r="I56" s="19"/>
      <c r="J56" s="19"/>
      <c r="K56" s="19"/>
      <c r="L56" s="19"/>
      <c r="M56" s="19"/>
      <c r="N56" s="19"/>
      <c r="O56" s="19"/>
      <c r="P56" s="32"/>
      <c r="Q56" s="33"/>
      <c r="R56" s="28" t="b">
        <f t="shared" si="2"/>
        <v>0</v>
      </c>
      <c r="S56" s="28" t="b">
        <f t="shared" si="3"/>
        <v>0</v>
      </c>
    </row>
    <row r="57" spans="1:19" x14ac:dyDescent="0.2">
      <c r="A57" s="19"/>
      <c r="B57" s="19"/>
      <c r="C57" s="19"/>
      <c r="D57" s="19"/>
      <c r="E57" s="19"/>
      <c r="F57" s="19"/>
      <c r="G57" s="19"/>
      <c r="H57" s="19"/>
      <c r="I57" s="19"/>
      <c r="J57" s="19"/>
      <c r="K57" s="19"/>
      <c r="L57" s="19"/>
      <c r="M57" s="19"/>
      <c r="N57" s="19"/>
      <c r="O57" s="19"/>
      <c r="P57" s="32"/>
      <c r="Q57" s="33"/>
      <c r="R57" s="28" t="b">
        <f t="shared" si="2"/>
        <v>0</v>
      </c>
      <c r="S57" s="28" t="b">
        <f t="shared" si="3"/>
        <v>0</v>
      </c>
    </row>
    <row r="58" spans="1:19" x14ac:dyDescent="0.2">
      <c r="A58" s="19"/>
      <c r="B58" s="19"/>
      <c r="C58" s="19"/>
      <c r="D58" s="19"/>
      <c r="E58" s="19"/>
      <c r="F58" s="19"/>
      <c r="G58" s="19"/>
      <c r="H58" s="19"/>
      <c r="I58" s="19"/>
      <c r="J58" s="19"/>
      <c r="K58" s="19"/>
      <c r="L58" s="19"/>
      <c r="M58" s="19"/>
      <c r="N58" s="19"/>
      <c r="O58" s="19"/>
      <c r="P58" s="32"/>
      <c r="Q58" s="33"/>
      <c r="R58" s="28" t="b">
        <f t="shared" si="2"/>
        <v>0</v>
      </c>
      <c r="S58" s="28" t="b">
        <f t="shared" si="3"/>
        <v>0</v>
      </c>
    </row>
    <row r="59" spans="1:19" x14ac:dyDescent="0.2">
      <c r="A59" s="19"/>
      <c r="B59" s="19"/>
      <c r="C59" s="19"/>
      <c r="D59" s="19"/>
      <c r="E59" s="19"/>
      <c r="F59" s="19"/>
      <c r="G59" s="19"/>
      <c r="H59" s="19"/>
      <c r="I59" s="19"/>
      <c r="J59" s="19"/>
      <c r="K59" s="19"/>
      <c r="L59" s="19"/>
      <c r="M59" s="19"/>
      <c r="N59" s="19"/>
      <c r="O59" s="19"/>
      <c r="P59" s="32"/>
      <c r="Q59" s="33"/>
      <c r="R59" s="28" t="b">
        <f t="shared" si="2"/>
        <v>0</v>
      </c>
      <c r="S59" s="28" t="b">
        <f t="shared" si="3"/>
        <v>0</v>
      </c>
    </row>
    <row r="60" spans="1:19" x14ac:dyDescent="0.2">
      <c r="A60" s="19"/>
      <c r="B60" s="19"/>
      <c r="C60" s="19"/>
      <c r="D60" s="19"/>
      <c r="E60" s="19"/>
      <c r="F60" s="19"/>
      <c r="G60" s="19"/>
      <c r="H60" s="19"/>
      <c r="I60" s="19"/>
      <c r="J60" s="19"/>
      <c r="K60" s="19"/>
      <c r="L60" s="19"/>
      <c r="M60" s="19"/>
      <c r="N60" s="19"/>
      <c r="O60" s="19"/>
      <c r="P60" s="32"/>
      <c r="Q60" s="33"/>
      <c r="R60" s="28" t="b">
        <f t="shared" si="2"/>
        <v>0</v>
      </c>
      <c r="S60" s="28" t="b">
        <f t="shared" si="3"/>
        <v>0</v>
      </c>
    </row>
    <row r="61" spans="1:19" x14ac:dyDescent="0.2">
      <c r="A61" s="19"/>
      <c r="B61" s="19"/>
      <c r="C61" s="19"/>
      <c r="D61" s="19"/>
      <c r="E61" s="19"/>
      <c r="F61" s="19"/>
      <c r="G61" s="19"/>
      <c r="H61" s="19"/>
      <c r="I61" s="19"/>
      <c r="J61" s="19"/>
      <c r="K61" s="19"/>
      <c r="L61" s="19"/>
      <c r="M61" s="19"/>
      <c r="N61" s="19"/>
      <c r="O61" s="19"/>
      <c r="P61" s="32"/>
      <c r="Q61" s="33"/>
      <c r="R61" s="28" t="b">
        <f t="shared" si="2"/>
        <v>0</v>
      </c>
      <c r="S61" s="28" t="b">
        <f t="shared" si="3"/>
        <v>0</v>
      </c>
    </row>
    <row r="62" spans="1:19" x14ac:dyDescent="0.2">
      <c r="A62" s="19"/>
      <c r="B62" s="19"/>
      <c r="C62" s="19"/>
      <c r="D62" s="19"/>
      <c r="E62" s="19"/>
      <c r="F62" s="19"/>
      <c r="G62" s="19"/>
      <c r="H62" s="19"/>
      <c r="I62" s="19"/>
      <c r="J62" s="19"/>
      <c r="K62" s="19"/>
      <c r="L62" s="19"/>
      <c r="M62" s="19"/>
      <c r="N62" s="19"/>
      <c r="O62" s="19"/>
      <c r="P62" s="32"/>
      <c r="Q62" s="33"/>
      <c r="R62" s="28" t="b">
        <f t="shared" si="2"/>
        <v>0</v>
      </c>
      <c r="S62" s="28" t="b">
        <f t="shared" si="3"/>
        <v>0</v>
      </c>
    </row>
    <row r="63" spans="1:19" x14ac:dyDescent="0.2">
      <c r="A63" s="19"/>
      <c r="B63" s="19"/>
      <c r="C63" s="19"/>
      <c r="D63" s="19"/>
      <c r="E63" s="19"/>
      <c r="F63" s="19"/>
      <c r="G63" s="19"/>
      <c r="H63" s="19"/>
      <c r="I63" s="19"/>
      <c r="J63" s="19"/>
      <c r="K63" s="19"/>
      <c r="L63" s="19"/>
      <c r="M63" s="19"/>
      <c r="N63" s="19"/>
      <c r="O63" s="19"/>
      <c r="P63" s="32"/>
      <c r="Q63" s="33"/>
      <c r="R63" s="28" t="b">
        <f t="shared" si="2"/>
        <v>0</v>
      </c>
      <c r="S63" s="28" t="b">
        <f t="shared" si="3"/>
        <v>0</v>
      </c>
    </row>
    <row r="64" spans="1:19" x14ac:dyDescent="0.2">
      <c r="A64" s="19"/>
      <c r="B64" s="19"/>
      <c r="C64" s="19"/>
      <c r="D64" s="19"/>
      <c r="E64" s="19"/>
      <c r="F64" s="19"/>
      <c r="G64" s="19"/>
      <c r="H64" s="19"/>
      <c r="I64" s="19"/>
      <c r="J64" s="19"/>
      <c r="K64" s="19"/>
      <c r="L64" s="19"/>
      <c r="M64" s="19"/>
      <c r="N64" s="19"/>
      <c r="O64" s="19"/>
      <c r="P64" s="32"/>
      <c r="Q64" s="33"/>
      <c r="R64" s="28" t="b">
        <f t="shared" si="2"/>
        <v>0</v>
      </c>
      <c r="S64" s="28" t="b">
        <f t="shared" si="3"/>
        <v>0</v>
      </c>
    </row>
    <row r="65" spans="1:19" x14ac:dyDescent="0.2">
      <c r="A65" s="19"/>
      <c r="B65" s="19"/>
      <c r="C65" s="19"/>
      <c r="D65" s="19"/>
      <c r="E65" s="39"/>
      <c r="F65" s="39"/>
      <c r="G65" s="39"/>
      <c r="H65" s="39"/>
      <c r="I65" s="39"/>
      <c r="J65" s="39"/>
      <c r="K65" s="39"/>
      <c r="L65" s="40"/>
      <c r="M65" s="19"/>
      <c r="N65" s="19"/>
      <c r="O65" s="19"/>
      <c r="P65" s="32"/>
      <c r="Q65" s="33"/>
      <c r="R65" s="28" t="b">
        <f t="shared" si="2"/>
        <v>0</v>
      </c>
      <c r="S65" s="28" t="b">
        <f t="shared" si="3"/>
        <v>0</v>
      </c>
    </row>
    <row r="66" spans="1:19" x14ac:dyDescent="0.2">
      <c r="A66" s="19"/>
      <c r="B66" s="19"/>
      <c r="C66" s="19"/>
      <c r="D66" s="19"/>
      <c r="E66" s="39"/>
      <c r="F66" s="39"/>
      <c r="G66" s="39"/>
      <c r="H66" s="39"/>
      <c r="I66" s="39"/>
      <c r="J66" s="39"/>
      <c r="K66" s="39"/>
      <c r="L66" s="40"/>
      <c r="M66" s="19"/>
      <c r="N66" s="19"/>
      <c r="O66" s="19"/>
      <c r="P66" s="32"/>
      <c r="Q66" s="33"/>
      <c r="R66" s="28" t="b">
        <f t="shared" si="2"/>
        <v>0</v>
      </c>
      <c r="S66" s="28" t="b">
        <f t="shared" si="3"/>
        <v>0</v>
      </c>
    </row>
    <row r="67" spans="1:19" x14ac:dyDescent="0.2">
      <c r="A67" s="19"/>
      <c r="B67" s="19"/>
      <c r="C67" s="19"/>
      <c r="D67" s="19"/>
      <c r="E67" s="39"/>
      <c r="F67" s="39"/>
      <c r="G67" s="39"/>
      <c r="H67" s="39"/>
      <c r="I67" s="39"/>
      <c r="J67" s="39"/>
      <c r="K67" s="39"/>
      <c r="L67" s="40"/>
      <c r="M67" s="19"/>
      <c r="N67" s="19"/>
      <c r="O67" s="19"/>
      <c r="P67" s="32"/>
      <c r="Q67" s="33"/>
      <c r="R67" s="28" t="b">
        <f t="shared" si="2"/>
        <v>0</v>
      </c>
      <c r="S67" s="28" t="b">
        <f t="shared" si="3"/>
        <v>0</v>
      </c>
    </row>
    <row r="68" spans="1:19" x14ac:dyDescent="0.2">
      <c r="A68" s="19"/>
      <c r="B68" s="19"/>
      <c r="C68" s="19"/>
      <c r="D68" s="19"/>
      <c r="E68" s="39"/>
      <c r="F68" s="39"/>
      <c r="G68" s="39"/>
      <c r="H68" s="39"/>
      <c r="I68" s="39"/>
      <c r="J68" s="39"/>
      <c r="K68" s="39"/>
      <c r="L68" s="40"/>
      <c r="M68" s="19"/>
      <c r="N68" s="19"/>
      <c r="O68" s="19"/>
      <c r="P68" s="32"/>
      <c r="Q68" s="33"/>
      <c r="R68" s="28" t="b">
        <f t="shared" si="2"/>
        <v>0</v>
      </c>
      <c r="S68" s="28" t="b">
        <f t="shared" si="3"/>
        <v>0</v>
      </c>
    </row>
    <row r="69" spans="1:19" x14ac:dyDescent="0.2">
      <c r="A69" s="19"/>
      <c r="B69" s="19"/>
      <c r="C69" s="19"/>
      <c r="D69" s="19"/>
      <c r="E69" s="39"/>
      <c r="F69" s="39"/>
      <c r="G69" s="39"/>
      <c r="H69" s="39"/>
      <c r="I69" s="39"/>
      <c r="J69" s="39"/>
      <c r="K69" s="39"/>
      <c r="L69" s="40"/>
      <c r="M69" s="19"/>
      <c r="N69" s="19"/>
      <c r="O69" s="19"/>
      <c r="P69" s="32"/>
      <c r="Q69" s="33"/>
      <c r="R69" s="28" t="b">
        <f t="shared" si="2"/>
        <v>0</v>
      </c>
      <c r="S69" s="28" t="b">
        <f t="shared" si="3"/>
        <v>0</v>
      </c>
    </row>
    <row r="70" spans="1:19" x14ac:dyDescent="0.2">
      <c r="A70" s="19"/>
      <c r="B70" s="19"/>
      <c r="C70" s="19"/>
      <c r="D70" s="19"/>
      <c r="E70" s="39"/>
      <c r="F70" s="39"/>
      <c r="G70" s="39"/>
      <c r="H70" s="39"/>
      <c r="I70" s="39"/>
      <c r="J70" s="39"/>
      <c r="K70" s="39"/>
      <c r="L70" s="40"/>
      <c r="M70" s="19"/>
      <c r="N70" s="19"/>
      <c r="O70" s="19"/>
      <c r="P70" s="32"/>
      <c r="Q70" s="33"/>
      <c r="R70" s="28" t="b">
        <f t="shared" si="2"/>
        <v>0</v>
      </c>
      <c r="S70" s="28" t="b">
        <f t="shared" si="3"/>
        <v>0</v>
      </c>
    </row>
    <row r="71" spans="1:19" x14ac:dyDescent="0.2">
      <c r="A71" s="19"/>
      <c r="B71" s="19"/>
      <c r="C71" s="19"/>
      <c r="D71" s="19"/>
      <c r="E71" s="39"/>
      <c r="F71" s="39"/>
      <c r="G71" s="39"/>
      <c r="H71" s="39"/>
      <c r="I71" s="39"/>
      <c r="J71" s="39"/>
      <c r="K71" s="39"/>
      <c r="L71" s="40"/>
      <c r="M71" s="19"/>
      <c r="N71" s="19"/>
      <c r="O71" s="19"/>
      <c r="P71" s="32"/>
      <c r="Q71" s="33"/>
      <c r="R71" s="28" t="b">
        <f t="shared" si="2"/>
        <v>0</v>
      </c>
      <c r="S71" s="28" t="b">
        <f t="shared" si="3"/>
        <v>0</v>
      </c>
    </row>
    <row r="72" spans="1:19" x14ac:dyDescent="0.2">
      <c r="A72" s="19"/>
      <c r="B72" s="19"/>
      <c r="C72" s="19"/>
      <c r="D72" s="19"/>
      <c r="E72" s="39"/>
      <c r="F72" s="39"/>
      <c r="G72" s="39"/>
      <c r="H72" s="39"/>
      <c r="I72" s="39"/>
      <c r="J72" s="39"/>
      <c r="K72" s="39"/>
      <c r="L72" s="40"/>
      <c r="M72" s="19"/>
      <c r="N72" s="19"/>
      <c r="O72" s="19"/>
      <c r="P72" s="32"/>
      <c r="Q72" s="33"/>
      <c r="R72" s="28" t="b">
        <f t="shared" si="2"/>
        <v>0</v>
      </c>
      <c r="S72" s="28" t="b">
        <f t="shared" si="3"/>
        <v>0</v>
      </c>
    </row>
    <row r="73" spans="1:19" x14ac:dyDescent="0.2">
      <c r="A73" s="19"/>
      <c r="B73" s="19"/>
      <c r="C73" s="19"/>
      <c r="D73" s="19"/>
      <c r="E73" s="39"/>
      <c r="F73" s="39"/>
      <c r="G73" s="39"/>
      <c r="H73" s="39"/>
      <c r="I73" s="39"/>
      <c r="J73" s="39"/>
      <c r="K73" s="39"/>
      <c r="L73" s="40"/>
      <c r="M73" s="19"/>
      <c r="N73" s="19"/>
      <c r="O73" s="19"/>
      <c r="P73" s="32"/>
      <c r="Q73" s="33"/>
      <c r="R73" s="28" t="b">
        <f t="shared" si="2"/>
        <v>0</v>
      </c>
      <c r="S73" s="28" t="b">
        <f t="shared" si="3"/>
        <v>0</v>
      </c>
    </row>
    <row r="74" spans="1:19" x14ac:dyDescent="0.2">
      <c r="A74" s="19"/>
      <c r="B74" s="19"/>
      <c r="C74" s="19"/>
      <c r="D74" s="19"/>
      <c r="E74" s="39"/>
      <c r="F74" s="39"/>
      <c r="G74" s="39"/>
      <c r="H74" s="39"/>
      <c r="I74" s="39"/>
      <c r="J74" s="39"/>
      <c r="K74" s="39"/>
      <c r="L74" s="40"/>
      <c r="M74" s="19"/>
      <c r="N74" s="19"/>
      <c r="O74" s="19"/>
      <c r="P74" s="32"/>
      <c r="Q74" s="33"/>
      <c r="R74" s="28" t="b">
        <f t="shared" si="2"/>
        <v>0</v>
      </c>
      <c r="S74" s="28" t="b">
        <f t="shared" si="3"/>
        <v>0</v>
      </c>
    </row>
    <row r="75" spans="1:19" x14ac:dyDescent="0.2">
      <c r="A75" s="19"/>
      <c r="B75" s="19"/>
      <c r="C75" s="19"/>
      <c r="D75" s="19"/>
      <c r="E75" s="39"/>
      <c r="F75" s="39"/>
      <c r="G75" s="39"/>
      <c r="H75" s="39"/>
      <c r="I75" s="39"/>
      <c r="J75" s="39"/>
      <c r="K75" s="39"/>
      <c r="L75" s="40"/>
      <c r="M75" s="19"/>
      <c r="N75" s="19"/>
      <c r="O75" s="19"/>
      <c r="P75" s="32"/>
      <c r="Q75" s="33"/>
      <c r="R75" s="28" t="b">
        <f t="shared" si="2"/>
        <v>0</v>
      </c>
      <c r="S75" s="28" t="b">
        <f t="shared" si="3"/>
        <v>0</v>
      </c>
    </row>
    <row r="76" spans="1:19" x14ac:dyDescent="0.2">
      <c r="A76" s="19"/>
      <c r="B76" s="19"/>
      <c r="C76" s="19"/>
      <c r="D76" s="19"/>
      <c r="E76" s="39"/>
      <c r="F76" s="39"/>
      <c r="G76" s="39"/>
      <c r="H76" s="39"/>
      <c r="I76" s="39"/>
      <c r="J76" s="39"/>
      <c r="K76" s="39"/>
      <c r="L76" s="40"/>
      <c r="M76" s="19"/>
      <c r="N76" s="19"/>
      <c r="O76" s="19"/>
      <c r="P76" s="32"/>
      <c r="Q76" s="33"/>
      <c r="R76" s="28" t="b">
        <f t="shared" si="2"/>
        <v>0</v>
      </c>
      <c r="S76" s="28" t="b">
        <f t="shared" si="3"/>
        <v>0</v>
      </c>
    </row>
    <row r="77" spans="1:19" x14ac:dyDescent="0.2">
      <c r="A77" s="19"/>
      <c r="B77" s="19"/>
      <c r="C77" s="19"/>
      <c r="D77" s="19"/>
      <c r="E77" s="45"/>
      <c r="F77" s="39"/>
      <c r="G77" s="39"/>
      <c r="H77" s="39"/>
      <c r="I77" s="19"/>
      <c r="J77" s="19"/>
      <c r="K77" s="41"/>
      <c r="L77" s="40"/>
      <c r="M77" s="19"/>
      <c r="N77" s="19"/>
      <c r="O77" s="19"/>
      <c r="P77" s="32"/>
      <c r="Q77" s="33"/>
      <c r="R77" s="28" t="b">
        <f t="shared" si="2"/>
        <v>0</v>
      </c>
      <c r="S77" s="28" t="b">
        <f t="shared" si="3"/>
        <v>0</v>
      </c>
    </row>
    <row r="78" spans="1:19" x14ac:dyDescent="0.2">
      <c r="A78" s="19"/>
      <c r="B78" s="19"/>
      <c r="C78" s="19"/>
      <c r="D78" s="19"/>
      <c r="E78" s="45"/>
      <c r="F78" s="39"/>
      <c r="G78" s="39"/>
      <c r="H78" s="39"/>
      <c r="I78" s="42"/>
      <c r="J78" s="43"/>
      <c r="K78" s="41"/>
      <c r="L78" s="40"/>
      <c r="M78" s="19"/>
      <c r="N78" s="19"/>
      <c r="O78" s="19"/>
      <c r="P78" s="32"/>
      <c r="Q78" s="33"/>
      <c r="R78" s="28" t="b">
        <f t="shared" si="2"/>
        <v>0</v>
      </c>
      <c r="S78" s="28" t="b">
        <f t="shared" si="3"/>
        <v>0</v>
      </c>
    </row>
    <row r="79" spans="1:19" x14ac:dyDescent="0.2">
      <c r="A79" s="19"/>
      <c r="B79" s="19"/>
      <c r="C79" s="19"/>
      <c r="D79" s="19"/>
      <c r="E79" s="45"/>
      <c r="F79" s="39"/>
      <c r="G79" s="39"/>
      <c r="H79" s="39"/>
      <c r="I79" s="42"/>
      <c r="J79" s="43"/>
      <c r="K79" s="41"/>
      <c r="L79" s="40"/>
      <c r="M79" s="19"/>
      <c r="N79" s="19"/>
      <c r="O79" s="19"/>
      <c r="P79" s="32"/>
      <c r="Q79" s="33"/>
      <c r="R79" s="28" t="b">
        <f t="shared" si="2"/>
        <v>0</v>
      </c>
      <c r="S79" s="28" t="b">
        <f t="shared" si="3"/>
        <v>0</v>
      </c>
    </row>
    <row r="80" spans="1:19" x14ac:dyDescent="0.2">
      <c r="A80" s="19"/>
      <c r="B80" s="19"/>
      <c r="C80" s="19"/>
      <c r="D80" s="19"/>
      <c r="E80" s="45"/>
      <c r="F80" s="39"/>
      <c r="G80" s="39"/>
      <c r="H80" s="39"/>
      <c r="I80" s="42"/>
      <c r="J80" s="43"/>
      <c r="K80" s="41"/>
      <c r="L80" s="40"/>
      <c r="M80" s="19"/>
      <c r="N80" s="19"/>
      <c r="O80" s="19"/>
      <c r="P80" s="32"/>
      <c r="Q80" s="33"/>
      <c r="R80" s="28" t="b">
        <f t="shared" ref="R80:R111" si="4">IF($P80&gt;0,$B$17+$B$18*$P80)</f>
        <v>0</v>
      </c>
      <c r="S80" s="28" t="b">
        <f t="shared" ref="S80:S111" si="5">IF($P80&gt;0,$Q80-$R80)</f>
        <v>0</v>
      </c>
    </row>
    <row r="81" spans="1:19" x14ac:dyDescent="0.2">
      <c r="A81" s="19"/>
      <c r="B81" s="19"/>
      <c r="C81" s="19"/>
      <c r="D81" s="19"/>
      <c r="E81" s="46"/>
      <c r="F81" s="39"/>
      <c r="G81" s="39"/>
      <c r="H81" s="39"/>
      <c r="I81" s="43"/>
      <c r="J81" s="43"/>
      <c r="K81" s="26"/>
      <c r="L81" s="26"/>
      <c r="M81" s="19"/>
      <c r="N81" s="19"/>
      <c r="O81" s="19"/>
      <c r="P81" s="32"/>
      <c r="Q81" s="33"/>
      <c r="R81" s="28" t="b">
        <f t="shared" si="4"/>
        <v>0</v>
      </c>
      <c r="S81" s="28" t="b">
        <f t="shared" si="5"/>
        <v>0</v>
      </c>
    </row>
    <row r="82" spans="1:19" x14ac:dyDescent="0.2">
      <c r="A82" s="19"/>
      <c r="B82" s="19"/>
      <c r="C82" s="19"/>
      <c r="D82" s="19"/>
      <c r="E82" s="26"/>
      <c r="F82" s="39"/>
      <c r="G82" s="39"/>
      <c r="H82" s="39"/>
      <c r="I82" s="26"/>
      <c r="J82" s="26"/>
      <c r="K82" s="26"/>
      <c r="L82" s="26"/>
      <c r="M82" s="19"/>
      <c r="N82" s="19"/>
      <c r="O82" s="19"/>
      <c r="P82" s="32"/>
      <c r="Q82" s="33"/>
      <c r="R82" s="28" t="b">
        <f t="shared" si="4"/>
        <v>0</v>
      </c>
      <c r="S82" s="28" t="b">
        <f t="shared" si="5"/>
        <v>0</v>
      </c>
    </row>
    <row r="83" spans="1:19" x14ac:dyDescent="0.2">
      <c r="A83" s="19"/>
      <c r="B83" s="19"/>
      <c r="C83" s="19"/>
      <c r="D83" s="19"/>
      <c r="E83" s="26"/>
      <c r="F83" s="39"/>
      <c r="G83" s="39"/>
      <c r="H83" s="39"/>
      <c r="I83" s="26"/>
      <c r="J83" s="26"/>
      <c r="K83" s="26"/>
      <c r="L83" s="26"/>
      <c r="M83" s="19"/>
      <c r="N83" s="19"/>
      <c r="O83" s="19"/>
      <c r="P83" s="32"/>
      <c r="Q83" s="33"/>
      <c r="R83" s="28" t="b">
        <f t="shared" si="4"/>
        <v>0</v>
      </c>
      <c r="S83" s="28" t="b">
        <f t="shared" si="5"/>
        <v>0</v>
      </c>
    </row>
    <row r="84" spans="1:19" x14ac:dyDescent="0.2">
      <c r="A84" s="19"/>
      <c r="B84" s="19"/>
      <c r="C84" s="19"/>
      <c r="D84" s="19"/>
      <c r="E84" s="19"/>
      <c r="F84" s="39"/>
      <c r="G84" s="39"/>
      <c r="H84" s="39"/>
      <c r="I84" s="19"/>
      <c r="J84" s="19"/>
      <c r="K84" s="19"/>
      <c r="L84" s="19"/>
      <c r="M84" s="19"/>
      <c r="N84" s="19"/>
      <c r="O84" s="19"/>
      <c r="P84" s="32"/>
      <c r="Q84" s="33"/>
      <c r="R84" s="28" t="b">
        <f t="shared" si="4"/>
        <v>0</v>
      </c>
      <c r="S84" s="28" t="b">
        <f t="shared" si="5"/>
        <v>0</v>
      </c>
    </row>
    <row r="85" spans="1:19" x14ac:dyDescent="0.2">
      <c r="A85" s="19"/>
      <c r="B85" s="19"/>
      <c r="C85" s="19"/>
      <c r="D85" s="19"/>
      <c r="E85" s="19"/>
      <c r="F85" s="39"/>
      <c r="G85" s="39"/>
      <c r="H85" s="39"/>
      <c r="I85" s="19"/>
      <c r="J85" s="19"/>
      <c r="K85" s="19"/>
      <c r="L85" s="19"/>
      <c r="M85" s="19"/>
      <c r="N85" s="19"/>
      <c r="O85" s="19"/>
      <c r="P85" s="32"/>
      <c r="Q85" s="33"/>
      <c r="R85" s="28" t="b">
        <f t="shared" si="4"/>
        <v>0</v>
      </c>
      <c r="S85" s="28" t="b">
        <f t="shared" si="5"/>
        <v>0</v>
      </c>
    </row>
    <row r="86" spans="1:19" x14ac:dyDescent="0.2">
      <c r="A86" s="19"/>
      <c r="B86" s="19"/>
      <c r="C86" s="19"/>
      <c r="D86" s="19"/>
      <c r="E86" s="19"/>
      <c r="F86" s="39"/>
      <c r="G86" s="39"/>
      <c r="H86" s="39"/>
      <c r="I86" s="19"/>
      <c r="J86" s="19"/>
      <c r="K86" s="19"/>
      <c r="L86" s="19"/>
      <c r="M86" s="19"/>
      <c r="N86" s="19"/>
      <c r="O86" s="19"/>
      <c r="P86" s="32"/>
      <c r="Q86" s="33"/>
      <c r="R86" s="28" t="b">
        <f t="shared" si="4"/>
        <v>0</v>
      </c>
      <c r="S86" s="28" t="b">
        <f t="shared" si="5"/>
        <v>0</v>
      </c>
    </row>
    <row r="87" spans="1:19" x14ac:dyDescent="0.2">
      <c r="A87" s="19"/>
      <c r="B87" s="19"/>
      <c r="C87" s="19"/>
      <c r="D87" s="19"/>
      <c r="E87" s="19"/>
      <c r="F87" s="39"/>
      <c r="G87" s="39"/>
      <c r="H87" s="39"/>
      <c r="I87" s="19"/>
      <c r="J87" s="19"/>
      <c r="K87" s="19"/>
      <c r="L87" s="19"/>
      <c r="M87" s="19"/>
      <c r="N87" s="19"/>
      <c r="O87" s="19"/>
      <c r="P87" s="32"/>
      <c r="Q87" s="33"/>
      <c r="R87" s="28" t="b">
        <f t="shared" si="4"/>
        <v>0</v>
      </c>
      <c r="S87" s="28" t="b">
        <f t="shared" si="5"/>
        <v>0</v>
      </c>
    </row>
    <row r="88" spans="1:19" x14ac:dyDescent="0.2">
      <c r="A88" s="19"/>
      <c r="B88" s="19"/>
      <c r="C88" s="19"/>
      <c r="D88" s="19"/>
      <c r="E88" s="19"/>
      <c r="F88" s="39"/>
      <c r="G88" s="39"/>
      <c r="H88" s="39"/>
      <c r="I88" s="19"/>
      <c r="J88" s="19"/>
      <c r="K88" s="19"/>
      <c r="L88" s="19"/>
      <c r="M88" s="19"/>
      <c r="N88" s="19"/>
      <c r="O88" s="19"/>
      <c r="P88" s="32"/>
      <c r="Q88" s="33"/>
      <c r="R88" s="28" t="b">
        <f t="shared" si="4"/>
        <v>0</v>
      </c>
      <c r="S88" s="28" t="b">
        <f t="shared" si="5"/>
        <v>0</v>
      </c>
    </row>
    <row r="89" spans="1:19" x14ac:dyDescent="0.2">
      <c r="A89" s="19"/>
      <c r="B89" s="19"/>
      <c r="C89" s="19"/>
      <c r="D89" s="19"/>
      <c r="E89" s="19"/>
      <c r="F89" s="39"/>
      <c r="G89" s="39"/>
      <c r="H89" s="39"/>
      <c r="I89" s="19"/>
      <c r="J89" s="19"/>
      <c r="K89" s="19"/>
      <c r="L89" s="19"/>
      <c r="M89" s="19"/>
      <c r="N89" s="19"/>
      <c r="O89" s="19"/>
      <c r="P89" s="32"/>
      <c r="Q89" s="33"/>
      <c r="R89" s="28" t="b">
        <f t="shared" si="4"/>
        <v>0</v>
      </c>
      <c r="S89" s="28" t="b">
        <f t="shared" si="5"/>
        <v>0</v>
      </c>
    </row>
    <row r="90" spans="1:19" x14ac:dyDescent="0.2">
      <c r="A90" s="19"/>
      <c r="B90" s="19"/>
      <c r="C90" s="19"/>
      <c r="D90" s="19"/>
      <c r="E90" s="19"/>
      <c r="F90" s="39"/>
      <c r="G90" s="39"/>
      <c r="H90" s="39"/>
      <c r="I90" s="19"/>
      <c r="J90" s="19"/>
      <c r="K90" s="19"/>
      <c r="L90" s="19"/>
      <c r="M90" s="19"/>
      <c r="N90" s="19"/>
      <c r="O90" s="19"/>
      <c r="P90" s="32"/>
      <c r="Q90" s="33"/>
      <c r="R90" s="28" t="b">
        <f t="shared" si="4"/>
        <v>0</v>
      </c>
      <c r="S90" s="28" t="b">
        <f t="shared" si="5"/>
        <v>0</v>
      </c>
    </row>
    <row r="91" spans="1:19" x14ac:dyDescent="0.2">
      <c r="A91" s="19"/>
      <c r="B91" s="19"/>
      <c r="C91" s="19"/>
      <c r="D91" s="19"/>
      <c r="E91" s="19"/>
      <c r="F91" s="39"/>
      <c r="G91" s="39"/>
      <c r="H91" s="39"/>
      <c r="I91" s="19"/>
      <c r="J91" s="19"/>
      <c r="K91" s="19"/>
      <c r="L91" s="19"/>
      <c r="M91" s="19"/>
      <c r="N91" s="19"/>
      <c r="O91" s="19"/>
      <c r="P91" s="32"/>
      <c r="Q91" s="33"/>
      <c r="R91" s="28" t="b">
        <f t="shared" si="4"/>
        <v>0</v>
      </c>
      <c r="S91" s="28" t="b">
        <f t="shared" si="5"/>
        <v>0</v>
      </c>
    </row>
    <row r="92" spans="1:19" x14ac:dyDescent="0.2">
      <c r="A92" s="19"/>
      <c r="B92" s="19"/>
      <c r="C92" s="19"/>
      <c r="D92" s="19"/>
      <c r="E92" s="19"/>
      <c r="F92" s="39"/>
      <c r="G92" s="39"/>
      <c r="H92" s="39"/>
      <c r="I92" s="19"/>
      <c r="J92" s="19"/>
      <c r="K92" s="19"/>
      <c r="L92" s="19"/>
      <c r="M92" s="19"/>
      <c r="N92" s="19"/>
      <c r="O92" s="19"/>
      <c r="P92" s="32"/>
      <c r="Q92" s="33"/>
      <c r="R92" s="28" t="b">
        <f t="shared" si="4"/>
        <v>0</v>
      </c>
      <c r="S92" s="28" t="b">
        <f t="shared" si="5"/>
        <v>0</v>
      </c>
    </row>
    <row r="93" spans="1:19" x14ac:dyDescent="0.2">
      <c r="A93" s="19"/>
      <c r="B93" s="19"/>
      <c r="C93" s="19"/>
      <c r="D93" s="19"/>
      <c r="E93" s="19"/>
      <c r="F93" s="39"/>
      <c r="G93" s="39"/>
      <c r="H93" s="39"/>
      <c r="I93" s="19"/>
      <c r="J93" s="19"/>
      <c r="K93" s="19"/>
      <c r="L93" s="19"/>
      <c r="M93" s="19"/>
      <c r="N93" s="19"/>
      <c r="O93" s="19"/>
      <c r="P93" s="32"/>
      <c r="Q93" s="33"/>
      <c r="R93" s="28" t="b">
        <f t="shared" si="4"/>
        <v>0</v>
      </c>
      <c r="S93" s="28" t="b">
        <f t="shared" si="5"/>
        <v>0</v>
      </c>
    </row>
    <row r="94" spans="1:19" x14ac:dyDescent="0.2">
      <c r="A94" s="19"/>
      <c r="B94" s="19"/>
      <c r="C94" s="19"/>
      <c r="D94" s="19"/>
      <c r="E94" s="19"/>
      <c r="F94" s="39"/>
      <c r="G94" s="39"/>
      <c r="H94" s="39"/>
      <c r="I94" s="44"/>
      <c r="J94" s="44"/>
      <c r="K94" s="19"/>
      <c r="L94" s="19"/>
      <c r="M94" s="19"/>
      <c r="N94" s="19"/>
      <c r="O94" s="19"/>
      <c r="P94" s="32"/>
      <c r="Q94" s="33"/>
      <c r="R94" s="28" t="b">
        <f t="shared" si="4"/>
        <v>0</v>
      </c>
      <c r="S94" s="28" t="b">
        <f t="shared" si="5"/>
        <v>0</v>
      </c>
    </row>
    <row r="95" spans="1:19" x14ac:dyDescent="0.2">
      <c r="A95" s="19"/>
      <c r="B95" s="19"/>
      <c r="C95" s="19"/>
      <c r="D95" s="19"/>
      <c r="E95" s="19"/>
      <c r="F95" s="39"/>
      <c r="G95" s="39"/>
      <c r="H95" s="39"/>
      <c r="I95" s="19"/>
      <c r="J95" s="19"/>
      <c r="K95" s="19"/>
      <c r="L95" s="19"/>
      <c r="M95" s="19"/>
      <c r="N95" s="19"/>
      <c r="O95" s="19"/>
      <c r="P95" s="32"/>
      <c r="Q95" s="33"/>
      <c r="R95" s="28" t="b">
        <f t="shared" si="4"/>
        <v>0</v>
      </c>
      <c r="S95" s="28" t="b">
        <f t="shared" si="5"/>
        <v>0</v>
      </c>
    </row>
    <row r="96" spans="1:19" x14ac:dyDescent="0.2">
      <c r="A96" s="19"/>
      <c r="B96" s="19"/>
      <c r="C96" s="19"/>
      <c r="D96" s="19"/>
      <c r="E96" s="19"/>
      <c r="F96" s="39"/>
      <c r="G96" s="39"/>
      <c r="H96" s="39"/>
      <c r="I96" s="19"/>
      <c r="J96" s="19"/>
      <c r="K96" s="19"/>
      <c r="L96" s="19"/>
      <c r="M96" s="19"/>
      <c r="N96" s="19"/>
      <c r="O96" s="19"/>
      <c r="P96" s="32"/>
      <c r="Q96" s="33"/>
      <c r="R96" s="28" t="b">
        <f t="shared" si="4"/>
        <v>0</v>
      </c>
      <c r="S96" s="28" t="b">
        <f t="shared" si="5"/>
        <v>0</v>
      </c>
    </row>
    <row r="97" spans="1:19" x14ac:dyDescent="0.2">
      <c r="A97" s="19"/>
      <c r="B97" s="19"/>
      <c r="C97" s="19"/>
      <c r="D97" s="19"/>
      <c r="E97" s="19"/>
      <c r="F97" s="39"/>
      <c r="G97" s="39"/>
      <c r="H97" s="39"/>
      <c r="I97" s="19"/>
      <c r="J97" s="19"/>
      <c r="K97" s="19"/>
      <c r="L97" s="19"/>
      <c r="M97" s="19"/>
      <c r="N97" s="19"/>
      <c r="O97" s="19"/>
      <c r="P97" s="32"/>
      <c r="Q97" s="33"/>
      <c r="R97" s="28" t="b">
        <f t="shared" si="4"/>
        <v>0</v>
      </c>
      <c r="S97" s="28" t="b">
        <f t="shared" si="5"/>
        <v>0</v>
      </c>
    </row>
    <row r="98" spans="1:19" x14ac:dyDescent="0.2">
      <c r="A98" s="19"/>
      <c r="B98" s="19"/>
      <c r="C98" s="19"/>
      <c r="D98" s="19"/>
      <c r="E98" s="19"/>
      <c r="F98" s="39"/>
      <c r="G98" s="39"/>
      <c r="H98" s="39"/>
      <c r="I98" s="19"/>
      <c r="J98" s="19"/>
      <c r="K98" s="19"/>
      <c r="L98" s="19"/>
      <c r="M98" s="19"/>
      <c r="N98" s="19"/>
      <c r="O98" s="19"/>
      <c r="P98" s="32"/>
      <c r="Q98" s="33"/>
      <c r="R98" s="28" t="b">
        <f t="shared" si="4"/>
        <v>0</v>
      </c>
      <c r="S98" s="28" t="b">
        <f t="shared" si="5"/>
        <v>0</v>
      </c>
    </row>
    <row r="99" spans="1:19" x14ac:dyDescent="0.2">
      <c r="A99" s="19"/>
      <c r="B99" s="19"/>
      <c r="C99" s="19"/>
      <c r="D99" s="19"/>
      <c r="E99" s="19"/>
      <c r="F99" s="39"/>
      <c r="G99" s="39"/>
      <c r="H99" s="39"/>
      <c r="I99" s="19"/>
      <c r="J99" s="19"/>
      <c r="K99" s="19"/>
      <c r="L99" s="19"/>
      <c r="M99" s="19"/>
      <c r="N99" s="19"/>
      <c r="O99" s="19"/>
      <c r="P99" s="32"/>
      <c r="Q99" s="33"/>
      <c r="R99" s="28" t="b">
        <f t="shared" si="4"/>
        <v>0</v>
      </c>
      <c r="S99" s="28" t="b">
        <f t="shared" si="5"/>
        <v>0</v>
      </c>
    </row>
    <row r="100" spans="1:19" x14ac:dyDescent="0.2">
      <c r="B100" s="5" t="s">
        <v>55</v>
      </c>
      <c r="H100" s="15"/>
      <c r="I100" s="19"/>
      <c r="J100" s="19"/>
      <c r="K100" s="19"/>
      <c r="L100" s="19"/>
      <c r="M100" s="19"/>
      <c r="N100" s="19"/>
      <c r="O100" s="19"/>
      <c r="P100" s="32"/>
      <c r="Q100" s="33"/>
      <c r="R100" s="28" t="b">
        <f t="shared" si="4"/>
        <v>0</v>
      </c>
      <c r="S100" s="28" t="b">
        <f t="shared" si="5"/>
        <v>0</v>
      </c>
    </row>
    <row r="101" spans="1:19" x14ac:dyDescent="0.2">
      <c r="A101" s="122"/>
      <c r="B101" s="88"/>
      <c r="C101" s="66" t="s">
        <v>56</v>
      </c>
      <c r="D101" s="66" t="s">
        <v>28</v>
      </c>
      <c r="E101" s="66" t="s">
        <v>64</v>
      </c>
      <c r="F101" s="66" t="s">
        <v>62</v>
      </c>
      <c r="G101" s="66" t="s">
        <v>66</v>
      </c>
      <c r="H101" s="15"/>
      <c r="I101" s="19"/>
      <c r="J101" s="19"/>
      <c r="K101" s="19"/>
      <c r="L101" s="19"/>
      <c r="M101" s="19"/>
      <c r="N101" s="19"/>
      <c r="O101" s="19"/>
      <c r="P101" s="32"/>
      <c r="Q101" s="33"/>
      <c r="R101" s="28" t="b">
        <f t="shared" si="4"/>
        <v>0</v>
      </c>
      <c r="S101" s="28" t="b">
        <f t="shared" si="5"/>
        <v>0</v>
      </c>
    </row>
    <row r="102" spans="1:19" x14ac:dyDescent="0.2">
      <c r="A102" s="67">
        <v>1</v>
      </c>
      <c r="B102" s="67">
        <f>A102+$B$32</f>
        <v>1</v>
      </c>
      <c r="C102" s="81" t="e">
        <f>MAX($B$17+$A$102*$B$18+$B$28+0.5*$B$6,$B$6)</f>
        <v>#DIV/0!</v>
      </c>
      <c r="D102" s="81" t="e">
        <f>$B$17+$A$102*$B$18+$B$27</f>
        <v>#DIV/0!</v>
      </c>
      <c r="E102" s="81" t="e">
        <f>MAX($B$17+$B$18*($B$35-$B$32)+$B$28+0.5*$B$6,$B$6)</f>
        <v>#DIV/0!</v>
      </c>
      <c r="F102" s="123">
        <f>MAX($P$3:$P$252)</f>
        <v>0</v>
      </c>
      <c r="G102" s="124" t="e">
        <f>MAX($B$17+$F$102*$B$18+$B$28+0.5*$B$6,$B$6)</f>
        <v>#DIV/0!</v>
      </c>
      <c r="H102" s="15"/>
      <c r="I102" s="19"/>
      <c r="J102" s="19"/>
      <c r="K102" s="19"/>
      <c r="L102" s="19"/>
      <c r="M102" s="19"/>
      <c r="N102" s="19"/>
      <c r="O102" s="19"/>
      <c r="P102" s="32"/>
      <c r="Q102" s="33"/>
      <c r="R102" s="28" t="b">
        <f t="shared" si="4"/>
        <v>0</v>
      </c>
      <c r="S102" s="28" t="b">
        <f t="shared" si="5"/>
        <v>0</v>
      </c>
    </row>
    <row r="103" spans="1:19" x14ac:dyDescent="0.2">
      <c r="A103" s="125" t="e">
        <f>(0.5*$B$6-$B$28-$B$17)/$B$18</f>
        <v>#DIV/0!</v>
      </c>
      <c r="B103" s="125" t="e">
        <f>$A103+$B$32</f>
        <v>#DIV/0!</v>
      </c>
      <c r="C103" s="81">
        <f>$B$6</f>
        <v>0</v>
      </c>
      <c r="D103" s="81" t="e">
        <f>$B$17+$A$103*$B$18+$B$27</f>
        <v>#DIV/0!</v>
      </c>
      <c r="E103" s="81" t="e">
        <f>MAX($B$17+$B$18*($C$35-$B$32)+$B$28+0.5*$B$6,$B$6)</f>
        <v>#DIV/0!</v>
      </c>
      <c r="F103" s="125">
        <f>$A$104</f>
        <v>44196</v>
      </c>
      <c r="G103" s="124" t="e">
        <f>$G$102</f>
        <v>#DIV/0!</v>
      </c>
      <c r="H103" s="15"/>
      <c r="I103" s="19"/>
      <c r="J103" s="19"/>
      <c r="K103" s="19"/>
      <c r="L103" s="19"/>
      <c r="M103" s="19"/>
      <c r="N103" s="19"/>
      <c r="O103" s="19"/>
      <c r="P103" s="32"/>
      <c r="Q103" s="33"/>
      <c r="R103" s="28" t="b">
        <f t="shared" si="4"/>
        <v>0</v>
      </c>
      <c r="S103" s="28" t="b">
        <f t="shared" si="5"/>
        <v>0</v>
      </c>
    </row>
    <row r="104" spans="1:19" x14ac:dyDescent="0.2">
      <c r="A104" s="67">
        <v>44196</v>
      </c>
      <c r="B104" s="67">
        <f>$A104+$B$32</f>
        <v>44196</v>
      </c>
      <c r="C104" s="124" t="e">
        <f>MAX($B$17+$A$104*$B$18+$B$28+0.5*$B$6,$B$6)</f>
        <v>#DIV/0!</v>
      </c>
      <c r="D104" s="124" t="e">
        <f>$B$17+$A$104*$B$18+$B$27</f>
        <v>#DIV/0!</v>
      </c>
      <c r="E104" s="88"/>
      <c r="F104" s="88"/>
      <c r="G104" s="126"/>
      <c r="H104" s="15"/>
      <c r="I104" s="19"/>
      <c r="J104" s="19"/>
      <c r="K104" s="19"/>
      <c r="L104" s="19"/>
      <c r="M104" s="19"/>
      <c r="N104" s="19"/>
      <c r="O104" s="19"/>
      <c r="P104" s="32"/>
      <c r="Q104" s="33"/>
      <c r="R104" s="28" t="b">
        <f t="shared" si="4"/>
        <v>0</v>
      </c>
      <c r="S104" s="28" t="b">
        <f t="shared" si="5"/>
        <v>0</v>
      </c>
    </row>
    <row r="105" spans="1:19" x14ac:dyDescent="0.2">
      <c r="A105" s="125">
        <f>$B$35</f>
        <v>0</v>
      </c>
      <c r="B105" s="125">
        <f>$C$35</f>
        <v>0</v>
      </c>
      <c r="C105" s="127">
        <v>0</v>
      </c>
      <c r="D105" s="128"/>
      <c r="E105" s="66" t="s">
        <v>65</v>
      </c>
      <c r="F105" s="88"/>
      <c r="G105" s="126"/>
      <c r="H105" s="15"/>
      <c r="I105" s="19"/>
      <c r="J105" s="19"/>
      <c r="K105" s="19"/>
      <c r="L105" s="19"/>
      <c r="M105" s="19"/>
      <c r="N105" s="19"/>
      <c r="O105" s="19"/>
      <c r="P105" s="32"/>
      <c r="Q105" s="33"/>
      <c r="R105" s="28" t="b">
        <f t="shared" si="4"/>
        <v>0</v>
      </c>
      <c r="S105" s="28" t="b">
        <f t="shared" si="5"/>
        <v>0</v>
      </c>
    </row>
    <row r="106" spans="1:19" x14ac:dyDescent="0.2">
      <c r="A106" s="125">
        <f>$B$35</f>
        <v>0</v>
      </c>
      <c r="B106" s="125">
        <f>$C$35</f>
        <v>0</v>
      </c>
      <c r="C106" s="127">
        <v>100000</v>
      </c>
      <c r="D106" s="128"/>
      <c r="E106" s="124" t="e">
        <f>$B$41</f>
        <v>#DIV/0!</v>
      </c>
      <c r="F106" s="128"/>
      <c r="G106" s="126"/>
      <c r="H106" s="15"/>
      <c r="I106" s="19"/>
      <c r="J106" s="19"/>
      <c r="K106" s="19"/>
      <c r="L106" s="19"/>
      <c r="M106" s="19"/>
      <c r="N106" s="19"/>
      <c r="O106" s="19"/>
      <c r="P106" s="32"/>
      <c r="Q106" s="33"/>
      <c r="R106" s="28" t="b">
        <f t="shared" si="4"/>
        <v>0</v>
      </c>
      <c r="S106" s="28" t="b">
        <f t="shared" si="5"/>
        <v>0</v>
      </c>
    </row>
    <row r="107" spans="1:19" x14ac:dyDescent="0.2">
      <c r="A107" s="128"/>
      <c r="B107" s="88"/>
      <c r="C107" s="88"/>
      <c r="D107" s="128"/>
      <c r="E107" s="124" t="e">
        <f>$B$41</f>
        <v>#DIV/0!</v>
      </c>
      <c r="F107" s="128"/>
      <c r="G107" s="126"/>
      <c r="H107" s="15"/>
      <c r="I107" s="19"/>
      <c r="J107" s="19"/>
      <c r="K107" s="19"/>
      <c r="L107" s="19"/>
      <c r="M107" s="19"/>
      <c r="N107" s="19"/>
      <c r="O107" s="19"/>
      <c r="P107" s="32"/>
      <c r="Q107" s="33"/>
      <c r="R107" s="28" t="b">
        <f t="shared" si="4"/>
        <v>0</v>
      </c>
      <c r="S107" s="28" t="b">
        <f t="shared" si="5"/>
        <v>0</v>
      </c>
    </row>
    <row r="108" spans="1:19" x14ac:dyDescent="0.2">
      <c r="A108" s="88"/>
      <c r="B108" s="88"/>
      <c r="C108" s="88"/>
      <c r="D108" s="88"/>
      <c r="E108" s="88"/>
      <c r="F108" s="128"/>
      <c r="G108" s="126"/>
      <c r="H108" s="15"/>
      <c r="I108" s="19"/>
      <c r="J108" s="19"/>
      <c r="K108" s="19"/>
      <c r="L108" s="19"/>
      <c r="M108" s="19"/>
      <c r="N108" s="19"/>
      <c r="O108" s="19"/>
      <c r="P108" s="32"/>
      <c r="Q108" s="33"/>
      <c r="R108" s="28" t="b">
        <f t="shared" si="4"/>
        <v>0</v>
      </c>
      <c r="S108" s="28" t="b">
        <f t="shared" si="5"/>
        <v>0</v>
      </c>
    </row>
    <row r="109" spans="1:19" x14ac:dyDescent="0.2">
      <c r="A109" s="88"/>
      <c r="B109" s="88"/>
      <c r="C109" s="88"/>
      <c r="D109" s="88"/>
      <c r="E109" s="88"/>
      <c r="F109" s="128"/>
      <c r="G109" s="126"/>
      <c r="H109" s="15"/>
      <c r="I109" s="19"/>
      <c r="J109" s="19"/>
      <c r="K109" s="19"/>
      <c r="L109" s="19"/>
      <c r="M109" s="19"/>
      <c r="N109" s="19"/>
      <c r="O109" s="19"/>
      <c r="P109" s="32"/>
      <c r="Q109" s="33"/>
      <c r="R109" s="28" t="b">
        <f t="shared" si="4"/>
        <v>0</v>
      </c>
      <c r="S109" s="28" t="b">
        <f t="shared" si="5"/>
        <v>0</v>
      </c>
    </row>
    <row r="110" spans="1:19" x14ac:dyDescent="0.2">
      <c r="A110" s="88"/>
      <c r="B110" s="88"/>
      <c r="C110" s="88"/>
      <c r="D110" s="88"/>
      <c r="E110" s="88"/>
      <c r="F110" s="128"/>
      <c r="G110" s="126"/>
      <c r="H110" s="15"/>
      <c r="I110" s="19"/>
      <c r="J110" s="19"/>
      <c r="K110" s="19"/>
      <c r="L110" s="19"/>
      <c r="M110" s="19"/>
      <c r="N110" s="19"/>
      <c r="O110" s="19"/>
      <c r="P110" s="32"/>
      <c r="Q110" s="33"/>
      <c r="R110" s="28" t="b">
        <f t="shared" si="4"/>
        <v>0</v>
      </c>
      <c r="S110" s="28" t="b">
        <f t="shared" si="5"/>
        <v>0</v>
      </c>
    </row>
    <row r="111" spans="1:19" x14ac:dyDescent="0.2">
      <c r="A111" s="88"/>
      <c r="B111" s="88"/>
      <c r="C111" s="66" t="s">
        <v>50</v>
      </c>
      <c r="D111" s="76" t="b">
        <f>IF($B$9&gt;3,INDEX(XX!$C$4:'XX'!$C$150,$B$9))</f>
        <v>0</v>
      </c>
      <c r="E111" s="76" t="b">
        <f>IF($B$9&gt;3,INDEX(XX!$D$4:'XX'!$D$150,$B$9))</f>
        <v>0</v>
      </c>
      <c r="F111" s="128"/>
      <c r="G111" s="126"/>
      <c r="H111" s="15"/>
      <c r="I111" s="19"/>
      <c r="J111" s="19"/>
      <c r="K111" s="19"/>
      <c r="L111" s="19"/>
      <c r="M111" s="19"/>
      <c r="N111" s="19"/>
      <c r="O111" s="19"/>
      <c r="P111" s="32"/>
      <c r="Q111" s="33"/>
      <c r="R111" s="28" t="b">
        <f t="shared" si="4"/>
        <v>0</v>
      </c>
      <c r="S111" s="28" t="b">
        <f t="shared" si="5"/>
        <v>0</v>
      </c>
    </row>
    <row r="112" spans="1:19" x14ac:dyDescent="0.2">
      <c r="A112" s="88"/>
      <c r="B112" s="88"/>
      <c r="C112" s="66" t="s">
        <v>51</v>
      </c>
      <c r="D112" s="129" t="s">
        <v>52</v>
      </c>
      <c r="E112" s="129" t="s">
        <v>53</v>
      </c>
      <c r="F112" s="128"/>
      <c r="G112" s="126"/>
      <c r="H112" s="15"/>
      <c r="I112" s="19"/>
      <c r="J112" s="19"/>
      <c r="K112" s="19"/>
      <c r="L112" s="19"/>
      <c r="M112" s="19"/>
      <c r="N112" s="19"/>
      <c r="O112" s="19"/>
      <c r="P112" s="32"/>
      <c r="Q112" s="33"/>
      <c r="R112" s="28" t="b">
        <f t="shared" ref="R112:R143" si="6">IF($P112&gt;0,$B$17+$B$18*$P112)</f>
        <v>0</v>
      </c>
      <c r="S112" s="28" t="b">
        <f t="shared" ref="S112:S143" si="7">IF($P112&gt;0,$Q112-$R112)</f>
        <v>0</v>
      </c>
    </row>
    <row r="113" spans="1:19" x14ac:dyDescent="0.2">
      <c r="A113" s="66" t="s">
        <v>40</v>
      </c>
      <c r="B113" s="89" t="e">
        <f>MIN($A$50:$A$199)</f>
        <v>#DIV/0!</v>
      </c>
      <c r="C113" s="88"/>
      <c r="D113" s="76" t="e">
        <f>IF((ABS($B$16)&gt;$I$58)*AND(ABS($B$16)&lt;$J$58),#REF!+#REF!*B113,0)</f>
        <v>#DIV/0!</v>
      </c>
      <c r="E113" s="76" t="e">
        <f>IF((ABS($B$16)&gt;$J$58),$B$17+$B$18*$B113,0)</f>
        <v>#DIV/0!</v>
      </c>
      <c r="F113" s="128"/>
      <c r="G113" s="126"/>
      <c r="H113" s="15"/>
      <c r="I113" s="19"/>
      <c r="J113" s="19"/>
      <c r="K113" s="19"/>
      <c r="L113" s="19"/>
      <c r="M113" s="19"/>
      <c r="N113" s="19"/>
      <c r="O113" s="19"/>
      <c r="P113" s="32"/>
      <c r="Q113" s="33"/>
      <c r="R113" s="28" t="b">
        <f t="shared" si="6"/>
        <v>0</v>
      </c>
      <c r="S113" s="28" t="b">
        <f t="shared" si="7"/>
        <v>0</v>
      </c>
    </row>
    <row r="114" spans="1:19" x14ac:dyDescent="0.2">
      <c r="A114" s="66" t="s">
        <v>41</v>
      </c>
      <c r="B114" s="89">
        <f>MAX($P$3:$P$252)</f>
        <v>0</v>
      </c>
      <c r="C114" s="88"/>
      <c r="D114" s="76" t="e">
        <f>IF((ABS($B$16)&gt;$I$58)*AND(ABS($B$16)&lt;$J$58),#REF!+#REF!*B114,0)</f>
        <v>#DIV/0!</v>
      </c>
      <c r="E114" s="76" t="e">
        <f>IF((ABS($B$16)&gt;$E$111),$B$17+$B$18*$B114,0)</f>
        <v>#DIV/0!</v>
      </c>
      <c r="F114" s="128"/>
      <c r="G114" s="126"/>
      <c r="H114" s="15"/>
      <c r="I114" s="19"/>
      <c r="J114" s="19"/>
      <c r="K114" s="19"/>
      <c r="L114" s="19"/>
      <c r="M114" s="19"/>
      <c r="N114" s="19"/>
      <c r="O114" s="19"/>
      <c r="P114" s="32"/>
      <c r="Q114" s="33"/>
      <c r="R114" s="28" t="b">
        <f t="shared" si="6"/>
        <v>0</v>
      </c>
      <c r="S114" s="28" t="b">
        <f t="shared" si="7"/>
        <v>0</v>
      </c>
    </row>
    <row r="115" spans="1:19" x14ac:dyDescent="0.2">
      <c r="F115" s="15"/>
      <c r="G115" s="15"/>
      <c r="H115" s="15"/>
      <c r="I115" s="19"/>
      <c r="J115" s="19"/>
      <c r="K115" s="19"/>
      <c r="L115" s="19"/>
      <c r="M115" s="19"/>
      <c r="N115" s="19"/>
      <c r="O115" s="19"/>
      <c r="P115" s="32"/>
      <c r="Q115" s="33"/>
      <c r="R115" s="28" t="b">
        <f t="shared" si="6"/>
        <v>0</v>
      </c>
      <c r="S115" s="28" t="b">
        <f t="shared" si="7"/>
        <v>0</v>
      </c>
    </row>
    <row r="116" spans="1:19" x14ac:dyDescent="0.2">
      <c r="F116" s="15"/>
      <c r="G116" s="15"/>
      <c r="H116" s="15"/>
      <c r="I116" s="19"/>
      <c r="J116" s="19"/>
      <c r="K116" s="19"/>
      <c r="L116" s="19"/>
      <c r="M116" s="19"/>
      <c r="N116" s="19"/>
      <c r="O116" s="19"/>
      <c r="P116" s="32"/>
      <c r="Q116" s="33"/>
      <c r="R116" s="28" t="b">
        <f t="shared" si="6"/>
        <v>0</v>
      </c>
      <c r="S116" s="28" t="b">
        <f t="shared" si="7"/>
        <v>0</v>
      </c>
    </row>
    <row r="117" spans="1:19" x14ac:dyDescent="0.2">
      <c r="F117" s="15"/>
      <c r="G117" s="15"/>
      <c r="H117" s="15"/>
      <c r="I117" s="19"/>
      <c r="J117" s="19"/>
      <c r="K117" s="19"/>
      <c r="L117" s="19"/>
      <c r="M117" s="19"/>
      <c r="N117" s="19"/>
      <c r="O117" s="19"/>
      <c r="P117" s="32"/>
      <c r="Q117" s="33"/>
      <c r="R117" s="28" t="b">
        <f t="shared" si="6"/>
        <v>0</v>
      </c>
      <c r="S117" s="28" t="b">
        <f t="shared" si="7"/>
        <v>0</v>
      </c>
    </row>
    <row r="118" spans="1:19" x14ac:dyDescent="0.2">
      <c r="F118" s="15"/>
      <c r="G118" s="15"/>
      <c r="H118" s="15"/>
      <c r="I118" s="19"/>
      <c r="J118" s="19"/>
      <c r="K118" s="19"/>
      <c r="L118" s="19"/>
      <c r="M118" s="19"/>
      <c r="N118" s="19"/>
      <c r="O118" s="19"/>
      <c r="P118" s="32"/>
      <c r="Q118" s="33"/>
      <c r="R118" s="28" t="b">
        <f t="shared" si="6"/>
        <v>0</v>
      </c>
      <c r="S118" s="28" t="b">
        <f t="shared" si="7"/>
        <v>0</v>
      </c>
    </row>
    <row r="119" spans="1:19" x14ac:dyDescent="0.2">
      <c r="F119" s="15"/>
      <c r="G119" s="15"/>
      <c r="H119" s="15"/>
      <c r="I119" s="19"/>
      <c r="J119" s="19"/>
      <c r="K119" s="19"/>
      <c r="L119" s="19"/>
      <c r="M119" s="19"/>
      <c r="N119" s="19"/>
      <c r="O119" s="19"/>
      <c r="P119" s="32"/>
      <c r="Q119" s="33"/>
      <c r="R119" s="28" t="b">
        <f t="shared" si="6"/>
        <v>0</v>
      </c>
      <c r="S119" s="28" t="b">
        <f t="shared" si="7"/>
        <v>0</v>
      </c>
    </row>
    <row r="120" spans="1:19" x14ac:dyDescent="0.2">
      <c r="F120" s="15"/>
      <c r="G120" s="15"/>
      <c r="H120" s="15"/>
      <c r="I120" s="19"/>
      <c r="J120" s="19"/>
      <c r="K120" s="19"/>
      <c r="L120" s="19"/>
      <c r="M120" s="19"/>
      <c r="N120" s="19"/>
      <c r="O120" s="19"/>
      <c r="P120" s="32"/>
      <c r="Q120" s="33"/>
      <c r="R120" s="28" t="b">
        <f t="shared" si="6"/>
        <v>0</v>
      </c>
      <c r="S120" s="28" t="b">
        <f t="shared" si="7"/>
        <v>0</v>
      </c>
    </row>
    <row r="121" spans="1:19" x14ac:dyDescent="0.2">
      <c r="I121" s="19"/>
      <c r="J121" s="19"/>
      <c r="K121" s="19"/>
      <c r="L121" s="19"/>
      <c r="M121" s="19"/>
      <c r="N121" s="19"/>
      <c r="O121" s="19"/>
      <c r="P121" s="32"/>
      <c r="Q121" s="33"/>
      <c r="R121" s="28" t="b">
        <f t="shared" si="6"/>
        <v>0</v>
      </c>
      <c r="S121" s="28" t="b">
        <f t="shared" si="7"/>
        <v>0</v>
      </c>
    </row>
    <row r="122" spans="1:19" x14ac:dyDescent="0.2">
      <c r="I122" s="19"/>
      <c r="J122" s="19"/>
      <c r="K122" s="19"/>
      <c r="L122" s="19"/>
      <c r="M122" s="19"/>
      <c r="N122" s="19"/>
      <c r="O122" s="19"/>
      <c r="P122" s="32"/>
      <c r="Q122" s="33"/>
      <c r="R122" s="28" t="b">
        <f t="shared" si="6"/>
        <v>0</v>
      </c>
      <c r="S122" s="28" t="b">
        <f t="shared" si="7"/>
        <v>0</v>
      </c>
    </row>
    <row r="123" spans="1:19" x14ac:dyDescent="0.2">
      <c r="I123" s="19"/>
      <c r="J123" s="19"/>
      <c r="K123" s="19"/>
      <c r="L123" s="19"/>
      <c r="M123" s="19"/>
      <c r="N123" s="19"/>
      <c r="O123" s="19"/>
      <c r="P123" s="32"/>
      <c r="Q123" s="33"/>
      <c r="R123" s="28" t="b">
        <f t="shared" si="6"/>
        <v>0</v>
      </c>
      <c r="S123" s="28" t="b">
        <f t="shared" si="7"/>
        <v>0</v>
      </c>
    </row>
    <row r="124" spans="1:19" x14ac:dyDescent="0.2">
      <c r="I124" s="19"/>
      <c r="J124" s="19"/>
      <c r="K124" s="19"/>
      <c r="L124" s="19"/>
      <c r="M124" s="19"/>
      <c r="N124" s="19"/>
      <c r="O124" s="19"/>
      <c r="P124" s="32"/>
      <c r="Q124" s="33"/>
      <c r="R124" s="28" t="b">
        <f t="shared" si="6"/>
        <v>0</v>
      </c>
      <c r="S124" s="28" t="b">
        <f t="shared" si="7"/>
        <v>0</v>
      </c>
    </row>
    <row r="125" spans="1:19" x14ac:dyDescent="0.2">
      <c r="I125" s="19"/>
      <c r="J125" s="19"/>
      <c r="K125" s="19"/>
      <c r="L125" s="19"/>
      <c r="M125" s="19"/>
      <c r="N125" s="19"/>
      <c r="O125" s="19"/>
      <c r="P125" s="32"/>
      <c r="Q125" s="33"/>
      <c r="R125" s="28" t="b">
        <f t="shared" si="6"/>
        <v>0</v>
      </c>
      <c r="S125" s="28" t="b">
        <f t="shared" si="7"/>
        <v>0</v>
      </c>
    </row>
    <row r="126" spans="1:19" x14ac:dyDescent="0.2">
      <c r="I126" s="19"/>
      <c r="J126" s="19"/>
      <c r="K126" s="19"/>
      <c r="L126" s="19"/>
      <c r="M126" s="19"/>
      <c r="N126" s="19"/>
      <c r="O126" s="19"/>
      <c r="P126" s="32"/>
      <c r="Q126" s="33"/>
      <c r="R126" s="28" t="b">
        <f t="shared" si="6"/>
        <v>0</v>
      </c>
      <c r="S126" s="28" t="b">
        <f t="shared" si="7"/>
        <v>0</v>
      </c>
    </row>
    <row r="127" spans="1:19" x14ac:dyDescent="0.2">
      <c r="I127" s="19"/>
      <c r="J127" s="19"/>
      <c r="K127" s="19"/>
      <c r="L127" s="19"/>
      <c r="M127" s="19"/>
      <c r="N127" s="19"/>
      <c r="O127" s="19"/>
      <c r="P127" s="32"/>
      <c r="Q127" s="33"/>
      <c r="R127" s="28" t="b">
        <f t="shared" si="6"/>
        <v>0</v>
      </c>
      <c r="S127" s="28" t="b">
        <f t="shared" si="7"/>
        <v>0</v>
      </c>
    </row>
    <row r="128" spans="1:19" x14ac:dyDescent="0.2">
      <c r="I128" s="19"/>
      <c r="J128" s="19"/>
      <c r="K128" s="19"/>
      <c r="L128" s="19"/>
      <c r="M128" s="19"/>
      <c r="N128" s="19"/>
      <c r="O128" s="19"/>
      <c r="P128" s="32"/>
      <c r="Q128" s="33"/>
      <c r="R128" s="28" t="b">
        <f t="shared" si="6"/>
        <v>0</v>
      </c>
      <c r="S128" s="28" t="b">
        <f t="shared" si="7"/>
        <v>0</v>
      </c>
    </row>
    <row r="129" spans="9:19" x14ac:dyDescent="0.2">
      <c r="I129" s="19"/>
      <c r="J129" s="19"/>
      <c r="K129" s="19"/>
      <c r="L129" s="19"/>
      <c r="M129" s="19"/>
      <c r="N129" s="19"/>
      <c r="O129" s="19"/>
      <c r="P129" s="32"/>
      <c r="Q129" s="33"/>
      <c r="R129" s="28" t="b">
        <f t="shared" si="6"/>
        <v>0</v>
      </c>
      <c r="S129" s="28" t="b">
        <f t="shared" si="7"/>
        <v>0</v>
      </c>
    </row>
    <row r="130" spans="9:19" x14ac:dyDescent="0.2">
      <c r="I130" s="19"/>
      <c r="J130" s="19"/>
      <c r="K130" s="19"/>
      <c r="L130" s="19"/>
      <c r="M130" s="19"/>
      <c r="N130" s="19"/>
      <c r="O130" s="19"/>
      <c r="P130" s="32"/>
      <c r="Q130" s="33"/>
      <c r="R130" s="28" t="b">
        <f t="shared" si="6"/>
        <v>0</v>
      </c>
      <c r="S130" s="28" t="b">
        <f t="shared" si="7"/>
        <v>0</v>
      </c>
    </row>
    <row r="131" spans="9:19" x14ac:dyDescent="0.2">
      <c r="I131" s="19"/>
      <c r="J131" s="19"/>
      <c r="K131" s="19"/>
      <c r="L131" s="19"/>
      <c r="M131" s="19"/>
      <c r="N131" s="19"/>
      <c r="O131" s="19"/>
      <c r="P131" s="32"/>
      <c r="Q131" s="33"/>
      <c r="R131" s="28" t="b">
        <f t="shared" si="6"/>
        <v>0</v>
      </c>
      <c r="S131" s="28" t="b">
        <f t="shared" si="7"/>
        <v>0</v>
      </c>
    </row>
    <row r="132" spans="9:19" x14ac:dyDescent="0.2">
      <c r="I132" s="19"/>
      <c r="J132" s="19"/>
      <c r="K132" s="19"/>
      <c r="L132" s="19"/>
      <c r="M132" s="19"/>
      <c r="N132" s="19"/>
      <c r="O132" s="19"/>
      <c r="P132" s="32"/>
      <c r="Q132" s="33"/>
      <c r="R132" s="28" t="b">
        <f t="shared" si="6"/>
        <v>0</v>
      </c>
      <c r="S132" s="28" t="b">
        <f t="shared" si="7"/>
        <v>0</v>
      </c>
    </row>
    <row r="133" spans="9:19" x14ac:dyDescent="0.2">
      <c r="I133" s="19"/>
      <c r="J133" s="19"/>
      <c r="K133" s="19"/>
      <c r="L133" s="19"/>
      <c r="M133" s="19"/>
      <c r="N133" s="19"/>
      <c r="O133" s="19"/>
      <c r="P133" s="32"/>
      <c r="Q133" s="33"/>
      <c r="R133" s="28" t="b">
        <f t="shared" si="6"/>
        <v>0</v>
      </c>
      <c r="S133" s="28" t="b">
        <f t="shared" si="7"/>
        <v>0</v>
      </c>
    </row>
    <row r="134" spans="9:19" x14ac:dyDescent="0.2">
      <c r="I134" s="19"/>
      <c r="J134" s="19"/>
      <c r="K134" s="19"/>
      <c r="L134" s="19"/>
      <c r="M134" s="19"/>
      <c r="N134" s="19"/>
      <c r="O134" s="19"/>
      <c r="P134" s="32"/>
      <c r="Q134" s="33"/>
      <c r="R134" s="28" t="b">
        <f t="shared" si="6"/>
        <v>0</v>
      </c>
      <c r="S134" s="28" t="b">
        <f t="shared" si="7"/>
        <v>0</v>
      </c>
    </row>
    <row r="135" spans="9:19" x14ac:dyDescent="0.2">
      <c r="I135" s="19"/>
      <c r="J135" s="19"/>
      <c r="K135" s="19"/>
      <c r="L135" s="19"/>
      <c r="M135" s="19"/>
      <c r="N135" s="19"/>
      <c r="O135" s="19"/>
      <c r="P135" s="32"/>
      <c r="Q135" s="33"/>
      <c r="R135" s="28" t="b">
        <f t="shared" si="6"/>
        <v>0</v>
      </c>
      <c r="S135" s="28" t="b">
        <f t="shared" si="7"/>
        <v>0</v>
      </c>
    </row>
    <row r="136" spans="9:19" x14ac:dyDescent="0.2">
      <c r="I136" s="19"/>
      <c r="J136" s="19"/>
      <c r="K136" s="19"/>
      <c r="L136" s="19"/>
      <c r="M136" s="19"/>
      <c r="N136" s="19"/>
      <c r="O136" s="19"/>
      <c r="P136" s="32"/>
      <c r="Q136" s="33"/>
      <c r="R136" s="28" t="b">
        <f t="shared" si="6"/>
        <v>0</v>
      </c>
      <c r="S136" s="28" t="b">
        <f t="shared" si="7"/>
        <v>0</v>
      </c>
    </row>
    <row r="137" spans="9:19" x14ac:dyDescent="0.2">
      <c r="I137" s="19"/>
      <c r="J137" s="19"/>
      <c r="K137" s="19"/>
      <c r="L137" s="19"/>
      <c r="M137" s="19"/>
      <c r="N137" s="19"/>
      <c r="O137" s="19"/>
      <c r="P137" s="32"/>
      <c r="Q137" s="33"/>
      <c r="R137" s="28" t="b">
        <f t="shared" si="6"/>
        <v>0</v>
      </c>
      <c r="S137" s="28" t="b">
        <f t="shared" si="7"/>
        <v>0</v>
      </c>
    </row>
    <row r="138" spans="9:19" x14ac:dyDescent="0.2">
      <c r="I138" s="19"/>
      <c r="J138" s="19"/>
      <c r="K138" s="19"/>
      <c r="L138" s="19"/>
      <c r="M138" s="19"/>
      <c r="N138" s="19"/>
      <c r="O138" s="19"/>
      <c r="P138" s="32"/>
      <c r="Q138" s="33"/>
      <c r="R138" s="28" t="b">
        <f t="shared" si="6"/>
        <v>0</v>
      </c>
      <c r="S138" s="28" t="b">
        <f t="shared" si="7"/>
        <v>0</v>
      </c>
    </row>
    <row r="139" spans="9:19" x14ac:dyDescent="0.2">
      <c r="I139" s="19"/>
      <c r="J139" s="19"/>
      <c r="K139" s="19"/>
      <c r="L139" s="19"/>
      <c r="M139" s="19"/>
      <c r="N139" s="19"/>
      <c r="O139" s="19"/>
      <c r="P139" s="32"/>
      <c r="Q139" s="33"/>
      <c r="R139" s="28" t="b">
        <f t="shared" si="6"/>
        <v>0</v>
      </c>
      <c r="S139" s="28" t="b">
        <f t="shared" si="7"/>
        <v>0</v>
      </c>
    </row>
    <row r="140" spans="9:19" x14ac:dyDescent="0.2">
      <c r="I140" s="19"/>
      <c r="J140" s="19"/>
      <c r="K140" s="19"/>
      <c r="L140" s="19"/>
      <c r="M140" s="19"/>
      <c r="N140" s="19"/>
      <c r="O140" s="19"/>
      <c r="P140" s="32"/>
      <c r="Q140" s="33"/>
      <c r="R140" s="28" t="b">
        <f t="shared" si="6"/>
        <v>0</v>
      </c>
      <c r="S140" s="28" t="b">
        <f t="shared" si="7"/>
        <v>0</v>
      </c>
    </row>
    <row r="141" spans="9:19" x14ac:dyDescent="0.2">
      <c r="I141" s="19"/>
      <c r="J141" s="19"/>
      <c r="K141" s="19"/>
      <c r="L141" s="19"/>
      <c r="M141" s="19"/>
      <c r="N141" s="19"/>
      <c r="O141" s="19"/>
      <c r="P141" s="32"/>
      <c r="Q141" s="33"/>
      <c r="R141" s="28" t="b">
        <f t="shared" si="6"/>
        <v>0</v>
      </c>
      <c r="S141" s="28" t="b">
        <f t="shared" si="7"/>
        <v>0</v>
      </c>
    </row>
    <row r="142" spans="9:19" x14ac:dyDescent="0.2">
      <c r="I142" s="19"/>
      <c r="J142" s="19"/>
      <c r="K142" s="19"/>
      <c r="L142" s="19"/>
      <c r="M142" s="19"/>
      <c r="N142" s="19"/>
      <c r="O142" s="19"/>
      <c r="P142" s="32"/>
      <c r="Q142" s="33"/>
      <c r="R142" s="28" t="b">
        <f t="shared" si="6"/>
        <v>0</v>
      </c>
      <c r="S142" s="28" t="b">
        <f t="shared" si="7"/>
        <v>0</v>
      </c>
    </row>
    <row r="143" spans="9:19" x14ac:dyDescent="0.2">
      <c r="I143" s="19"/>
      <c r="J143" s="19"/>
      <c r="K143" s="19"/>
      <c r="L143" s="19"/>
      <c r="M143" s="19"/>
      <c r="N143" s="19"/>
      <c r="O143" s="19"/>
      <c r="P143" s="32"/>
      <c r="Q143" s="33"/>
      <c r="R143" s="28" t="b">
        <f t="shared" si="6"/>
        <v>0</v>
      </c>
      <c r="S143" s="28" t="b">
        <f t="shared" si="7"/>
        <v>0</v>
      </c>
    </row>
    <row r="144" spans="9:19" x14ac:dyDescent="0.2">
      <c r="I144" s="19"/>
      <c r="J144" s="19"/>
      <c r="K144" s="19"/>
      <c r="L144" s="19"/>
      <c r="M144" s="19"/>
      <c r="N144" s="19"/>
      <c r="O144" s="19"/>
      <c r="P144" s="32"/>
      <c r="Q144" s="33"/>
      <c r="R144" s="28" t="b">
        <f t="shared" ref="R144:R175" si="8">IF($P144&gt;0,$B$17+$B$18*$P144)</f>
        <v>0</v>
      </c>
      <c r="S144" s="28" t="b">
        <f t="shared" ref="S144:S175" si="9">IF($P144&gt;0,$Q144-$R144)</f>
        <v>0</v>
      </c>
    </row>
    <row r="145" spans="9:19" x14ac:dyDescent="0.2">
      <c r="I145" s="19"/>
      <c r="J145" s="19"/>
      <c r="K145" s="19"/>
      <c r="L145" s="19"/>
      <c r="M145" s="19"/>
      <c r="N145" s="19"/>
      <c r="O145" s="19"/>
      <c r="P145" s="32"/>
      <c r="Q145" s="33"/>
      <c r="R145" s="28" t="b">
        <f t="shared" si="8"/>
        <v>0</v>
      </c>
      <c r="S145" s="28" t="b">
        <f t="shared" si="9"/>
        <v>0</v>
      </c>
    </row>
    <row r="146" spans="9:19" x14ac:dyDescent="0.2">
      <c r="I146" s="19"/>
      <c r="J146" s="19"/>
      <c r="K146" s="19"/>
      <c r="L146" s="19"/>
      <c r="M146" s="19"/>
      <c r="N146" s="19"/>
      <c r="O146" s="19"/>
      <c r="P146" s="32"/>
      <c r="Q146" s="33"/>
      <c r="R146" s="28" t="b">
        <f t="shared" si="8"/>
        <v>0</v>
      </c>
      <c r="S146" s="28" t="b">
        <f t="shared" si="9"/>
        <v>0</v>
      </c>
    </row>
    <row r="147" spans="9:19" x14ac:dyDescent="0.2">
      <c r="I147" s="19"/>
      <c r="J147" s="19"/>
      <c r="K147" s="19"/>
      <c r="L147" s="19"/>
      <c r="M147" s="19"/>
      <c r="N147" s="19"/>
      <c r="O147" s="19"/>
      <c r="P147" s="32"/>
      <c r="Q147" s="33"/>
      <c r="R147" s="28" t="b">
        <f t="shared" si="8"/>
        <v>0</v>
      </c>
      <c r="S147" s="28" t="b">
        <f t="shared" si="9"/>
        <v>0</v>
      </c>
    </row>
    <row r="148" spans="9:19" x14ac:dyDescent="0.2">
      <c r="I148" s="19"/>
      <c r="J148" s="19"/>
      <c r="K148" s="19"/>
      <c r="L148" s="19"/>
      <c r="M148" s="19"/>
      <c r="N148" s="19"/>
      <c r="O148" s="19"/>
      <c r="P148" s="32"/>
      <c r="Q148" s="33"/>
      <c r="R148" s="28" t="b">
        <f t="shared" si="8"/>
        <v>0</v>
      </c>
      <c r="S148" s="28" t="b">
        <f t="shared" si="9"/>
        <v>0</v>
      </c>
    </row>
    <row r="149" spans="9:19" x14ac:dyDescent="0.2">
      <c r="I149" s="19"/>
      <c r="J149" s="19"/>
      <c r="K149" s="19"/>
      <c r="L149" s="19"/>
      <c r="M149" s="19"/>
      <c r="N149" s="19"/>
      <c r="O149" s="19"/>
      <c r="P149" s="32"/>
      <c r="Q149" s="33"/>
      <c r="R149" s="28" t="b">
        <f t="shared" si="8"/>
        <v>0</v>
      </c>
      <c r="S149" s="28" t="b">
        <f t="shared" si="9"/>
        <v>0</v>
      </c>
    </row>
    <row r="150" spans="9:19" x14ac:dyDescent="0.2">
      <c r="I150" s="19"/>
      <c r="J150" s="19"/>
      <c r="K150" s="19"/>
      <c r="L150" s="19"/>
      <c r="M150" s="19"/>
      <c r="N150" s="19"/>
      <c r="O150" s="19"/>
      <c r="P150" s="32"/>
      <c r="Q150" s="33"/>
      <c r="R150" s="28" t="b">
        <f t="shared" si="8"/>
        <v>0</v>
      </c>
      <c r="S150" s="28" t="b">
        <f t="shared" si="9"/>
        <v>0</v>
      </c>
    </row>
    <row r="151" spans="9:19" x14ac:dyDescent="0.2">
      <c r="I151" s="19"/>
      <c r="J151" s="19"/>
      <c r="K151" s="19"/>
      <c r="L151" s="19"/>
      <c r="M151" s="19"/>
      <c r="N151" s="19"/>
      <c r="O151" s="19"/>
      <c r="P151" s="32"/>
      <c r="Q151" s="33"/>
      <c r="R151" s="28" t="b">
        <f t="shared" si="8"/>
        <v>0</v>
      </c>
      <c r="S151" s="28" t="b">
        <f t="shared" si="9"/>
        <v>0</v>
      </c>
    </row>
    <row r="152" spans="9:19" x14ac:dyDescent="0.2">
      <c r="I152" s="19"/>
      <c r="J152" s="19"/>
      <c r="K152" s="19"/>
      <c r="L152" s="19"/>
      <c r="M152" s="19"/>
      <c r="N152" s="19"/>
      <c r="O152" s="19"/>
      <c r="P152" s="32"/>
      <c r="Q152" s="33"/>
      <c r="R152" s="28" t="b">
        <f t="shared" si="8"/>
        <v>0</v>
      </c>
      <c r="S152" s="28" t="b">
        <f t="shared" si="9"/>
        <v>0</v>
      </c>
    </row>
    <row r="153" spans="9:19" x14ac:dyDescent="0.2">
      <c r="I153" s="19"/>
      <c r="J153" s="19"/>
      <c r="K153" s="19"/>
      <c r="L153" s="19"/>
      <c r="M153" s="19"/>
      <c r="N153" s="19"/>
      <c r="O153" s="19"/>
      <c r="P153" s="32"/>
      <c r="Q153" s="33"/>
      <c r="R153" s="28" t="b">
        <f t="shared" si="8"/>
        <v>0</v>
      </c>
      <c r="S153" s="28" t="b">
        <f t="shared" si="9"/>
        <v>0</v>
      </c>
    </row>
    <row r="154" spans="9:19" x14ac:dyDescent="0.2">
      <c r="I154" s="19"/>
      <c r="J154" s="19"/>
      <c r="K154" s="19"/>
      <c r="L154" s="19"/>
      <c r="M154" s="19"/>
      <c r="N154" s="19"/>
      <c r="O154" s="19"/>
      <c r="P154" s="32"/>
      <c r="Q154" s="33"/>
      <c r="R154" s="28" t="b">
        <f t="shared" si="8"/>
        <v>0</v>
      </c>
      <c r="S154" s="28" t="b">
        <f t="shared" si="9"/>
        <v>0</v>
      </c>
    </row>
    <row r="155" spans="9:19" x14ac:dyDescent="0.2">
      <c r="P155" s="32"/>
      <c r="Q155" s="33"/>
      <c r="R155" s="28" t="b">
        <f t="shared" si="8"/>
        <v>0</v>
      </c>
      <c r="S155" s="28" t="b">
        <f t="shared" si="9"/>
        <v>0</v>
      </c>
    </row>
    <row r="156" spans="9:19" x14ac:dyDescent="0.2">
      <c r="P156" s="32"/>
      <c r="Q156" s="33"/>
      <c r="R156" s="28" t="b">
        <f t="shared" si="8"/>
        <v>0</v>
      </c>
      <c r="S156" s="28" t="b">
        <f t="shared" si="9"/>
        <v>0</v>
      </c>
    </row>
    <row r="157" spans="9:19" x14ac:dyDescent="0.2">
      <c r="P157" s="32"/>
      <c r="Q157" s="33"/>
      <c r="R157" s="28" t="b">
        <f t="shared" si="8"/>
        <v>0</v>
      </c>
      <c r="S157" s="28" t="b">
        <f t="shared" si="9"/>
        <v>0</v>
      </c>
    </row>
    <row r="158" spans="9:19" x14ac:dyDescent="0.2">
      <c r="P158" s="32"/>
      <c r="Q158" s="33"/>
      <c r="R158" s="28" t="b">
        <f t="shared" si="8"/>
        <v>0</v>
      </c>
      <c r="S158" s="28" t="b">
        <f t="shared" si="9"/>
        <v>0</v>
      </c>
    </row>
    <row r="159" spans="9:19" x14ac:dyDescent="0.2">
      <c r="P159" s="32"/>
      <c r="Q159" s="33"/>
      <c r="R159" s="28" t="b">
        <f t="shared" si="8"/>
        <v>0</v>
      </c>
      <c r="S159" s="28" t="b">
        <f t="shared" si="9"/>
        <v>0</v>
      </c>
    </row>
    <row r="160" spans="9:19" x14ac:dyDescent="0.2">
      <c r="P160" s="32"/>
      <c r="Q160" s="33"/>
      <c r="R160" s="28" t="b">
        <f t="shared" si="8"/>
        <v>0</v>
      </c>
      <c r="S160" s="28" t="b">
        <f t="shared" si="9"/>
        <v>0</v>
      </c>
    </row>
    <row r="161" spans="16:19" x14ac:dyDescent="0.2">
      <c r="P161" s="32"/>
      <c r="Q161" s="33"/>
      <c r="R161" s="28" t="b">
        <f t="shared" si="8"/>
        <v>0</v>
      </c>
      <c r="S161" s="28" t="b">
        <f t="shared" si="9"/>
        <v>0</v>
      </c>
    </row>
    <row r="162" spans="16:19" x14ac:dyDescent="0.2">
      <c r="P162" s="32"/>
      <c r="Q162" s="33"/>
      <c r="R162" s="28" t="b">
        <f t="shared" si="8"/>
        <v>0</v>
      </c>
      <c r="S162" s="28" t="b">
        <f t="shared" si="9"/>
        <v>0</v>
      </c>
    </row>
    <row r="163" spans="16:19" x14ac:dyDescent="0.2">
      <c r="P163" s="32"/>
      <c r="Q163" s="33"/>
      <c r="R163" s="28" t="b">
        <f t="shared" si="8"/>
        <v>0</v>
      </c>
      <c r="S163" s="28" t="b">
        <f t="shared" si="9"/>
        <v>0</v>
      </c>
    </row>
    <row r="164" spans="16:19" x14ac:dyDescent="0.2">
      <c r="P164" s="32"/>
      <c r="Q164" s="33"/>
      <c r="R164" s="28" t="b">
        <f t="shared" si="8"/>
        <v>0</v>
      </c>
      <c r="S164" s="28" t="b">
        <f t="shared" si="9"/>
        <v>0</v>
      </c>
    </row>
    <row r="165" spans="16:19" x14ac:dyDescent="0.2">
      <c r="P165" s="32"/>
      <c r="Q165" s="33"/>
      <c r="R165" s="28" t="b">
        <f t="shared" si="8"/>
        <v>0</v>
      </c>
      <c r="S165" s="28" t="b">
        <f t="shared" si="9"/>
        <v>0</v>
      </c>
    </row>
    <row r="166" spans="16:19" x14ac:dyDescent="0.2">
      <c r="P166" s="32"/>
      <c r="Q166" s="33"/>
      <c r="R166" s="28" t="b">
        <f t="shared" si="8"/>
        <v>0</v>
      </c>
      <c r="S166" s="28" t="b">
        <f t="shared" si="9"/>
        <v>0</v>
      </c>
    </row>
    <row r="167" spans="16:19" x14ac:dyDescent="0.2">
      <c r="P167" s="32"/>
      <c r="Q167" s="33"/>
      <c r="R167" s="28" t="b">
        <f t="shared" si="8"/>
        <v>0</v>
      </c>
      <c r="S167" s="28" t="b">
        <f t="shared" si="9"/>
        <v>0</v>
      </c>
    </row>
    <row r="168" spans="16:19" x14ac:dyDescent="0.2">
      <c r="P168" s="32"/>
      <c r="Q168" s="33"/>
      <c r="R168" s="28" t="b">
        <f t="shared" si="8"/>
        <v>0</v>
      </c>
      <c r="S168" s="28" t="b">
        <f t="shared" si="9"/>
        <v>0</v>
      </c>
    </row>
    <row r="169" spans="16:19" x14ac:dyDescent="0.2">
      <c r="P169" s="32"/>
      <c r="Q169" s="33"/>
      <c r="R169" s="28" t="b">
        <f t="shared" si="8"/>
        <v>0</v>
      </c>
      <c r="S169" s="28" t="b">
        <f t="shared" si="9"/>
        <v>0</v>
      </c>
    </row>
    <row r="170" spans="16:19" x14ac:dyDescent="0.2">
      <c r="P170" s="32"/>
      <c r="Q170" s="33"/>
      <c r="R170" s="28" t="b">
        <f t="shared" si="8"/>
        <v>0</v>
      </c>
      <c r="S170" s="28" t="b">
        <f t="shared" si="9"/>
        <v>0</v>
      </c>
    </row>
    <row r="171" spans="16:19" x14ac:dyDescent="0.2">
      <c r="P171" s="32"/>
      <c r="Q171" s="33"/>
      <c r="R171" s="28" t="b">
        <f t="shared" si="8"/>
        <v>0</v>
      </c>
      <c r="S171" s="28" t="b">
        <f t="shared" si="9"/>
        <v>0</v>
      </c>
    </row>
    <row r="172" spans="16:19" x14ac:dyDescent="0.2">
      <c r="P172" s="32"/>
      <c r="Q172" s="33"/>
      <c r="R172" s="28" t="b">
        <f t="shared" si="8"/>
        <v>0</v>
      </c>
      <c r="S172" s="28" t="b">
        <f t="shared" si="9"/>
        <v>0</v>
      </c>
    </row>
    <row r="173" spans="16:19" x14ac:dyDescent="0.2">
      <c r="P173" s="32"/>
      <c r="Q173" s="33"/>
      <c r="R173" s="28" t="b">
        <f t="shared" si="8"/>
        <v>0</v>
      </c>
      <c r="S173" s="28" t="b">
        <f t="shared" si="9"/>
        <v>0</v>
      </c>
    </row>
    <row r="174" spans="16:19" x14ac:dyDescent="0.2">
      <c r="P174" s="32"/>
      <c r="Q174" s="33"/>
      <c r="R174" s="28" t="b">
        <f t="shared" si="8"/>
        <v>0</v>
      </c>
      <c r="S174" s="28" t="b">
        <f t="shared" si="9"/>
        <v>0</v>
      </c>
    </row>
    <row r="175" spans="16:19" x14ac:dyDescent="0.2">
      <c r="P175" s="32"/>
      <c r="Q175" s="33"/>
      <c r="R175" s="28" t="b">
        <f t="shared" si="8"/>
        <v>0</v>
      </c>
      <c r="S175" s="28" t="b">
        <f t="shared" si="9"/>
        <v>0</v>
      </c>
    </row>
    <row r="176" spans="16:19" x14ac:dyDescent="0.2">
      <c r="P176" s="32"/>
      <c r="Q176" s="33"/>
      <c r="R176" s="28" t="b">
        <f t="shared" ref="R176:R199" si="10">IF($P176&gt;0,$B$17+$B$18*$P176)</f>
        <v>0</v>
      </c>
      <c r="S176" s="28" t="b">
        <f t="shared" ref="S176:S199" si="11">IF($P176&gt;0,$Q176-$R176)</f>
        <v>0</v>
      </c>
    </row>
    <row r="177" spans="16:19" x14ac:dyDescent="0.2">
      <c r="P177" s="32"/>
      <c r="Q177" s="33"/>
      <c r="R177" s="28" t="b">
        <f t="shared" si="10"/>
        <v>0</v>
      </c>
      <c r="S177" s="28" t="b">
        <f t="shared" si="11"/>
        <v>0</v>
      </c>
    </row>
    <row r="178" spans="16:19" x14ac:dyDescent="0.2">
      <c r="P178" s="32"/>
      <c r="Q178" s="33"/>
      <c r="R178" s="28" t="b">
        <f t="shared" si="10"/>
        <v>0</v>
      </c>
      <c r="S178" s="28" t="b">
        <f t="shared" si="11"/>
        <v>0</v>
      </c>
    </row>
    <row r="179" spans="16:19" x14ac:dyDescent="0.2">
      <c r="P179" s="32"/>
      <c r="Q179" s="33"/>
      <c r="R179" s="28" t="b">
        <f t="shared" si="10"/>
        <v>0</v>
      </c>
      <c r="S179" s="28" t="b">
        <f t="shared" si="11"/>
        <v>0</v>
      </c>
    </row>
    <row r="180" spans="16:19" x14ac:dyDescent="0.2">
      <c r="P180" s="32"/>
      <c r="Q180" s="33"/>
      <c r="R180" s="28" t="b">
        <f t="shared" si="10"/>
        <v>0</v>
      </c>
      <c r="S180" s="28" t="b">
        <f t="shared" si="11"/>
        <v>0</v>
      </c>
    </row>
    <row r="181" spans="16:19" x14ac:dyDescent="0.2">
      <c r="P181" s="32"/>
      <c r="Q181" s="33"/>
      <c r="R181" s="28" t="b">
        <f t="shared" si="10"/>
        <v>0</v>
      </c>
      <c r="S181" s="28" t="b">
        <f t="shared" si="11"/>
        <v>0</v>
      </c>
    </row>
    <row r="182" spans="16:19" x14ac:dyDescent="0.2">
      <c r="P182" s="32"/>
      <c r="Q182" s="33"/>
      <c r="R182" s="28" t="b">
        <f t="shared" si="10"/>
        <v>0</v>
      </c>
      <c r="S182" s="28" t="b">
        <f t="shared" si="11"/>
        <v>0</v>
      </c>
    </row>
    <row r="183" spans="16:19" x14ac:dyDescent="0.2">
      <c r="P183" s="32"/>
      <c r="Q183" s="33"/>
      <c r="R183" s="28" t="b">
        <f t="shared" si="10"/>
        <v>0</v>
      </c>
      <c r="S183" s="28" t="b">
        <f t="shared" si="11"/>
        <v>0</v>
      </c>
    </row>
    <row r="184" spans="16:19" x14ac:dyDescent="0.2">
      <c r="P184" s="32"/>
      <c r="Q184" s="33"/>
      <c r="R184" s="28" t="b">
        <f t="shared" si="10"/>
        <v>0</v>
      </c>
      <c r="S184" s="28" t="b">
        <f t="shared" si="11"/>
        <v>0</v>
      </c>
    </row>
    <row r="185" spans="16:19" x14ac:dyDescent="0.2">
      <c r="P185" s="32"/>
      <c r="Q185" s="33"/>
      <c r="R185" s="28" t="b">
        <f t="shared" si="10"/>
        <v>0</v>
      </c>
      <c r="S185" s="28" t="b">
        <f t="shared" si="11"/>
        <v>0</v>
      </c>
    </row>
    <row r="186" spans="16:19" x14ac:dyDescent="0.2">
      <c r="P186" s="32"/>
      <c r="Q186" s="33"/>
      <c r="R186" s="28" t="b">
        <f t="shared" si="10"/>
        <v>0</v>
      </c>
      <c r="S186" s="28" t="b">
        <f t="shared" si="11"/>
        <v>0</v>
      </c>
    </row>
    <row r="187" spans="16:19" x14ac:dyDescent="0.2">
      <c r="P187" s="32"/>
      <c r="Q187" s="33"/>
      <c r="R187" s="28" t="b">
        <f t="shared" si="10"/>
        <v>0</v>
      </c>
      <c r="S187" s="28" t="b">
        <f t="shared" si="11"/>
        <v>0</v>
      </c>
    </row>
    <row r="188" spans="16:19" x14ac:dyDescent="0.2">
      <c r="P188" s="32"/>
      <c r="Q188" s="33"/>
      <c r="R188" s="28" t="b">
        <f t="shared" si="10"/>
        <v>0</v>
      </c>
      <c r="S188" s="28" t="b">
        <f t="shared" si="11"/>
        <v>0</v>
      </c>
    </row>
    <row r="189" spans="16:19" x14ac:dyDescent="0.2">
      <c r="P189" s="32"/>
      <c r="Q189" s="33"/>
      <c r="R189" s="28" t="b">
        <f t="shared" si="10"/>
        <v>0</v>
      </c>
      <c r="S189" s="28" t="b">
        <f t="shared" si="11"/>
        <v>0</v>
      </c>
    </row>
    <row r="190" spans="16:19" x14ac:dyDescent="0.2">
      <c r="P190" s="32"/>
      <c r="Q190" s="33"/>
      <c r="R190" s="28" t="b">
        <f t="shared" si="10"/>
        <v>0</v>
      </c>
      <c r="S190" s="28" t="b">
        <f t="shared" si="11"/>
        <v>0</v>
      </c>
    </row>
    <row r="191" spans="16:19" x14ac:dyDescent="0.2">
      <c r="P191" s="32"/>
      <c r="Q191" s="33"/>
      <c r="R191" s="28" t="b">
        <f t="shared" si="10"/>
        <v>0</v>
      </c>
      <c r="S191" s="28" t="b">
        <f t="shared" si="11"/>
        <v>0</v>
      </c>
    </row>
    <row r="192" spans="16:19" x14ac:dyDescent="0.2">
      <c r="P192" s="32"/>
      <c r="Q192" s="33"/>
      <c r="R192" s="28" t="b">
        <f t="shared" si="10"/>
        <v>0</v>
      </c>
      <c r="S192" s="28" t="b">
        <f t="shared" si="11"/>
        <v>0</v>
      </c>
    </row>
    <row r="193" spans="16:19" x14ac:dyDescent="0.2">
      <c r="P193" s="32"/>
      <c r="Q193" s="33"/>
      <c r="R193" s="28" t="b">
        <f t="shared" si="10"/>
        <v>0</v>
      </c>
      <c r="S193" s="28" t="b">
        <f t="shared" si="11"/>
        <v>0</v>
      </c>
    </row>
    <row r="194" spans="16:19" x14ac:dyDescent="0.2">
      <c r="P194" s="32"/>
      <c r="Q194" s="33"/>
      <c r="R194" s="28" t="b">
        <f t="shared" si="10"/>
        <v>0</v>
      </c>
      <c r="S194" s="28" t="b">
        <f t="shared" si="11"/>
        <v>0</v>
      </c>
    </row>
    <row r="195" spans="16:19" x14ac:dyDescent="0.2">
      <c r="P195" s="32"/>
      <c r="Q195" s="33"/>
      <c r="R195" s="28" t="b">
        <f t="shared" si="10"/>
        <v>0</v>
      </c>
      <c r="S195" s="28" t="b">
        <f t="shared" si="11"/>
        <v>0</v>
      </c>
    </row>
    <row r="196" spans="16:19" x14ac:dyDescent="0.2">
      <c r="P196" s="32"/>
      <c r="Q196" s="33"/>
      <c r="R196" s="28" t="b">
        <f t="shared" si="10"/>
        <v>0</v>
      </c>
      <c r="S196" s="28" t="b">
        <f t="shared" si="11"/>
        <v>0</v>
      </c>
    </row>
    <row r="197" spans="16:19" x14ac:dyDescent="0.2">
      <c r="P197" s="32"/>
      <c r="Q197" s="33"/>
      <c r="R197" s="28" t="b">
        <f t="shared" si="10"/>
        <v>0</v>
      </c>
      <c r="S197" s="28" t="b">
        <f t="shared" si="11"/>
        <v>0</v>
      </c>
    </row>
    <row r="198" spans="16:19" x14ac:dyDescent="0.2">
      <c r="P198" s="32"/>
      <c r="Q198" s="33"/>
      <c r="R198" s="28" t="b">
        <f t="shared" si="10"/>
        <v>0</v>
      </c>
      <c r="S198" s="28" t="b">
        <f t="shared" si="11"/>
        <v>0</v>
      </c>
    </row>
    <row r="199" spans="16:19" x14ac:dyDescent="0.2">
      <c r="P199" s="32"/>
      <c r="Q199" s="33"/>
      <c r="R199" s="28" t="b">
        <f t="shared" si="10"/>
        <v>0</v>
      </c>
      <c r="S199" s="28" t="b">
        <f t="shared" si="11"/>
        <v>0</v>
      </c>
    </row>
    <row r="200" spans="16:19" x14ac:dyDescent="0.2">
      <c r="P200" s="32"/>
      <c r="Q200" s="33"/>
      <c r="R200" s="28" t="b">
        <f t="shared" ref="R200:R252" si="12">IF($P200&gt;0,$B$17+$B$18*$P200)</f>
        <v>0</v>
      </c>
      <c r="S200" s="28" t="b">
        <f t="shared" ref="S200:S252" si="13">IF($P200&gt;0,$Q200-$R200)</f>
        <v>0</v>
      </c>
    </row>
    <row r="201" spans="16:19" x14ac:dyDescent="0.2">
      <c r="P201" s="32"/>
      <c r="Q201" s="33"/>
      <c r="R201" s="28" t="b">
        <f t="shared" si="12"/>
        <v>0</v>
      </c>
      <c r="S201" s="28" t="b">
        <f t="shared" si="13"/>
        <v>0</v>
      </c>
    </row>
    <row r="202" spans="16:19" x14ac:dyDescent="0.2">
      <c r="P202" s="32"/>
      <c r="Q202" s="33"/>
      <c r="R202" s="28" t="b">
        <f t="shared" si="12"/>
        <v>0</v>
      </c>
      <c r="S202" s="28" t="b">
        <f t="shared" si="13"/>
        <v>0</v>
      </c>
    </row>
    <row r="203" spans="16:19" x14ac:dyDescent="0.2">
      <c r="P203" s="32"/>
      <c r="Q203" s="33"/>
      <c r="R203" s="28" t="b">
        <f t="shared" si="12"/>
        <v>0</v>
      </c>
      <c r="S203" s="28" t="b">
        <f t="shared" si="13"/>
        <v>0</v>
      </c>
    </row>
    <row r="204" spans="16:19" x14ac:dyDescent="0.2">
      <c r="P204" s="32"/>
      <c r="Q204" s="33"/>
      <c r="R204" s="28" t="b">
        <f t="shared" si="12"/>
        <v>0</v>
      </c>
      <c r="S204" s="28" t="b">
        <f t="shared" si="13"/>
        <v>0</v>
      </c>
    </row>
    <row r="205" spans="16:19" x14ac:dyDescent="0.2">
      <c r="P205" s="32"/>
      <c r="Q205" s="33"/>
      <c r="R205" s="28" t="b">
        <f t="shared" si="12"/>
        <v>0</v>
      </c>
      <c r="S205" s="28" t="b">
        <f t="shared" si="13"/>
        <v>0</v>
      </c>
    </row>
    <row r="206" spans="16:19" x14ac:dyDescent="0.2">
      <c r="P206" s="32"/>
      <c r="Q206" s="33"/>
      <c r="R206" s="28" t="b">
        <f t="shared" si="12"/>
        <v>0</v>
      </c>
      <c r="S206" s="28" t="b">
        <f t="shared" si="13"/>
        <v>0</v>
      </c>
    </row>
    <row r="207" spans="16:19" x14ac:dyDescent="0.2">
      <c r="P207" s="32"/>
      <c r="Q207" s="33"/>
      <c r="R207" s="28" t="b">
        <f t="shared" si="12"/>
        <v>0</v>
      </c>
      <c r="S207" s="28" t="b">
        <f t="shared" si="13"/>
        <v>0</v>
      </c>
    </row>
    <row r="208" spans="16:19" x14ac:dyDescent="0.2">
      <c r="P208" s="32"/>
      <c r="Q208" s="33"/>
      <c r="R208" s="28" t="b">
        <f t="shared" si="12"/>
        <v>0</v>
      </c>
      <c r="S208" s="28" t="b">
        <f t="shared" si="13"/>
        <v>0</v>
      </c>
    </row>
    <row r="209" spans="16:19" x14ac:dyDescent="0.2">
      <c r="P209" s="32"/>
      <c r="Q209" s="33"/>
      <c r="R209" s="28" t="b">
        <f t="shared" si="12"/>
        <v>0</v>
      </c>
      <c r="S209" s="28" t="b">
        <f t="shared" si="13"/>
        <v>0</v>
      </c>
    </row>
    <row r="210" spans="16:19" x14ac:dyDescent="0.2">
      <c r="P210" s="32"/>
      <c r="Q210" s="33"/>
      <c r="R210" s="28" t="b">
        <f t="shared" si="12"/>
        <v>0</v>
      </c>
      <c r="S210" s="28" t="b">
        <f t="shared" si="13"/>
        <v>0</v>
      </c>
    </row>
    <row r="211" spans="16:19" x14ac:dyDescent="0.2">
      <c r="P211" s="32"/>
      <c r="Q211" s="33"/>
      <c r="R211" s="28" t="b">
        <f t="shared" si="12"/>
        <v>0</v>
      </c>
      <c r="S211" s="28" t="b">
        <f t="shared" si="13"/>
        <v>0</v>
      </c>
    </row>
    <row r="212" spans="16:19" x14ac:dyDescent="0.2">
      <c r="P212" s="32"/>
      <c r="Q212" s="33"/>
      <c r="R212" s="28" t="b">
        <f t="shared" si="12"/>
        <v>0</v>
      </c>
      <c r="S212" s="28" t="b">
        <f t="shared" si="13"/>
        <v>0</v>
      </c>
    </row>
    <row r="213" spans="16:19" x14ac:dyDescent="0.2">
      <c r="P213" s="32"/>
      <c r="Q213" s="33"/>
      <c r="R213" s="28" t="b">
        <f t="shared" si="12"/>
        <v>0</v>
      </c>
      <c r="S213" s="28" t="b">
        <f t="shared" si="13"/>
        <v>0</v>
      </c>
    </row>
    <row r="214" spans="16:19" x14ac:dyDescent="0.2">
      <c r="P214" s="32"/>
      <c r="Q214" s="33"/>
      <c r="R214" s="28" t="b">
        <f t="shared" si="12"/>
        <v>0</v>
      </c>
      <c r="S214" s="28" t="b">
        <f t="shared" si="13"/>
        <v>0</v>
      </c>
    </row>
    <row r="215" spans="16:19" x14ac:dyDescent="0.2">
      <c r="P215" s="32"/>
      <c r="Q215" s="33"/>
      <c r="R215" s="28" t="b">
        <f t="shared" si="12"/>
        <v>0</v>
      </c>
      <c r="S215" s="28" t="b">
        <f t="shared" si="13"/>
        <v>0</v>
      </c>
    </row>
    <row r="216" spans="16:19" x14ac:dyDescent="0.2">
      <c r="P216" s="32"/>
      <c r="Q216" s="33"/>
      <c r="R216" s="28" t="b">
        <f t="shared" si="12"/>
        <v>0</v>
      </c>
      <c r="S216" s="28" t="b">
        <f t="shared" si="13"/>
        <v>0</v>
      </c>
    </row>
    <row r="217" spans="16:19" x14ac:dyDescent="0.2">
      <c r="P217" s="32"/>
      <c r="Q217" s="33"/>
      <c r="R217" s="28" t="b">
        <f t="shared" si="12"/>
        <v>0</v>
      </c>
      <c r="S217" s="28" t="b">
        <f t="shared" si="13"/>
        <v>0</v>
      </c>
    </row>
    <row r="218" spans="16:19" x14ac:dyDescent="0.2">
      <c r="P218" s="32"/>
      <c r="Q218" s="33"/>
      <c r="R218" s="28" t="b">
        <f t="shared" si="12"/>
        <v>0</v>
      </c>
      <c r="S218" s="28" t="b">
        <f t="shared" si="13"/>
        <v>0</v>
      </c>
    </row>
    <row r="219" spans="16:19" x14ac:dyDescent="0.2">
      <c r="P219" s="32"/>
      <c r="Q219" s="33"/>
      <c r="R219" s="28" t="b">
        <f t="shared" si="12"/>
        <v>0</v>
      </c>
      <c r="S219" s="28" t="b">
        <f t="shared" si="13"/>
        <v>0</v>
      </c>
    </row>
    <row r="220" spans="16:19" x14ac:dyDescent="0.2">
      <c r="P220" s="32"/>
      <c r="Q220" s="33"/>
      <c r="R220" s="28" t="b">
        <f t="shared" si="12"/>
        <v>0</v>
      </c>
      <c r="S220" s="28" t="b">
        <f t="shared" si="13"/>
        <v>0</v>
      </c>
    </row>
    <row r="221" spans="16:19" x14ac:dyDescent="0.2">
      <c r="P221" s="32"/>
      <c r="Q221" s="33"/>
      <c r="R221" s="28" t="b">
        <f t="shared" si="12"/>
        <v>0</v>
      </c>
      <c r="S221" s="28" t="b">
        <f t="shared" si="13"/>
        <v>0</v>
      </c>
    </row>
    <row r="222" spans="16:19" x14ac:dyDescent="0.2">
      <c r="P222" s="32"/>
      <c r="Q222" s="33"/>
      <c r="R222" s="28" t="b">
        <f t="shared" si="12"/>
        <v>0</v>
      </c>
      <c r="S222" s="28" t="b">
        <f t="shared" si="13"/>
        <v>0</v>
      </c>
    </row>
    <row r="223" spans="16:19" x14ac:dyDescent="0.2">
      <c r="P223" s="32"/>
      <c r="Q223" s="33"/>
      <c r="R223" s="28" t="b">
        <f t="shared" si="12"/>
        <v>0</v>
      </c>
      <c r="S223" s="28" t="b">
        <f t="shared" si="13"/>
        <v>0</v>
      </c>
    </row>
    <row r="224" spans="16:19" x14ac:dyDescent="0.2">
      <c r="P224" s="32"/>
      <c r="Q224" s="33"/>
      <c r="R224" s="28" t="b">
        <f t="shared" si="12"/>
        <v>0</v>
      </c>
      <c r="S224" s="28" t="b">
        <f t="shared" si="13"/>
        <v>0</v>
      </c>
    </row>
    <row r="225" spans="16:19" x14ac:dyDescent="0.2">
      <c r="P225" s="32"/>
      <c r="Q225" s="33"/>
      <c r="R225" s="28" t="b">
        <f t="shared" si="12"/>
        <v>0</v>
      </c>
      <c r="S225" s="28" t="b">
        <f t="shared" si="13"/>
        <v>0</v>
      </c>
    </row>
    <row r="226" spans="16:19" x14ac:dyDescent="0.2">
      <c r="P226" s="32"/>
      <c r="Q226" s="33"/>
      <c r="R226" s="28" t="b">
        <f t="shared" si="12"/>
        <v>0</v>
      </c>
      <c r="S226" s="28" t="b">
        <f t="shared" si="13"/>
        <v>0</v>
      </c>
    </row>
    <row r="227" spans="16:19" x14ac:dyDescent="0.2">
      <c r="P227" s="32"/>
      <c r="Q227" s="33"/>
      <c r="R227" s="28" t="b">
        <f t="shared" si="12"/>
        <v>0</v>
      </c>
      <c r="S227" s="28" t="b">
        <f t="shared" si="13"/>
        <v>0</v>
      </c>
    </row>
    <row r="228" spans="16:19" x14ac:dyDescent="0.2">
      <c r="P228" s="32"/>
      <c r="Q228" s="33"/>
      <c r="R228" s="28" t="b">
        <f t="shared" si="12"/>
        <v>0</v>
      </c>
      <c r="S228" s="28" t="b">
        <f t="shared" si="13"/>
        <v>0</v>
      </c>
    </row>
    <row r="229" spans="16:19" x14ac:dyDescent="0.2">
      <c r="P229" s="32"/>
      <c r="Q229" s="33"/>
      <c r="R229" s="28" t="b">
        <f t="shared" si="12"/>
        <v>0</v>
      </c>
      <c r="S229" s="28" t="b">
        <f t="shared" si="13"/>
        <v>0</v>
      </c>
    </row>
    <row r="230" spans="16:19" x14ac:dyDescent="0.2">
      <c r="P230" s="32"/>
      <c r="Q230" s="33"/>
      <c r="R230" s="28" t="b">
        <f t="shared" si="12"/>
        <v>0</v>
      </c>
      <c r="S230" s="28" t="b">
        <f t="shared" si="13"/>
        <v>0</v>
      </c>
    </row>
    <row r="231" spans="16:19" x14ac:dyDescent="0.2">
      <c r="P231" s="32"/>
      <c r="Q231" s="33"/>
      <c r="R231" s="28" t="b">
        <f t="shared" si="12"/>
        <v>0</v>
      </c>
      <c r="S231" s="28" t="b">
        <f t="shared" si="13"/>
        <v>0</v>
      </c>
    </row>
    <row r="232" spans="16:19" x14ac:dyDescent="0.2">
      <c r="P232" s="32"/>
      <c r="Q232" s="33"/>
      <c r="R232" s="28" t="b">
        <f t="shared" si="12"/>
        <v>0</v>
      </c>
      <c r="S232" s="28" t="b">
        <f t="shared" si="13"/>
        <v>0</v>
      </c>
    </row>
    <row r="233" spans="16:19" x14ac:dyDescent="0.2">
      <c r="P233" s="32"/>
      <c r="Q233" s="33"/>
      <c r="R233" s="28" t="b">
        <f t="shared" si="12"/>
        <v>0</v>
      </c>
      <c r="S233" s="28" t="b">
        <f t="shared" si="13"/>
        <v>0</v>
      </c>
    </row>
    <row r="234" spans="16:19" x14ac:dyDescent="0.2">
      <c r="P234" s="32"/>
      <c r="Q234" s="33"/>
      <c r="R234" s="28" t="b">
        <f t="shared" si="12"/>
        <v>0</v>
      </c>
      <c r="S234" s="28" t="b">
        <f t="shared" si="13"/>
        <v>0</v>
      </c>
    </row>
    <row r="235" spans="16:19" x14ac:dyDescent="0.2">
      <c r="P235" s="32"/>
      <c r="Q235" s="33"/>
      <c r="R235" s="28" t="b">
        <f t="shared" si="12"/>
        <v>0</v>
      </c>
      <c r="S235" s="28" t="b">
        <f t="shared" si="13"/>
        <v>0</v>
      </c>
    </row>
    <row r="236" spans="16:19" x14ac:dyDescent="0.2">
      <c r="P236" s="32"/>
      <c r="Q236" s="33"/>
      <c r="R236" s="28" t="b">
        <f t="shared" si="12"/>
        <v>0</v>
      </c>
      <c r="S236" s="28" t="b">
        <f t="shared" si="13"/>
        <v>0</v>
      </c>
    </row>
    <row r="237" spans="16:19" x14ac:dyDescent="0.2">
      <c r="P237" s="32"/>
      <c r="Q237" s="33"/>
      <c r="R237" s="28" t="b">
        <f t="shared" si="12"/>
        <v>0</v>
      </c>
      <c r="S237" s="28" t="b">
        <f t="shared" si="13"/>
        <v>0</v>
      </c>
    </row>
    <row r="238" spans="16:19" x14ac:dyDescent="0.2">
      <c r="P238" s="32"/>
      <c r="Q238" s="33"/>
      <c r="R238" s="28" t="b">
        <f t="shared" si="12"/>
        <v>0</v>
      </c>
      <c r="S238" s="28" t="b">
        <f t="shared" si="13"/>
        <v>0</v>
      </c>
    </row>
    <row r="239" spans="16:19" x14ac:dyDescent="0.2">
      <c r="P239" s="32"/>
      <c r="Q239" s="33"/>
      <c r="R239" s="28" t="b">
        <f t="shared" si="12"/>
        <v>0</v>
      </c>
      <c r="S239" s="28" t="b">
        <f t="shared" si="13"/>
        <v>0</v>
      </c>
    </row>
    <row r="240" spans="16:19" x14ac:dyDescent="0.2">
      <c r="P240" s="32"/>
      <c r="Q240" s="33"/>
      <c r="R240" s="28" t="b">
        <f t="shared" si="12"/>
        <v>0</v>
      </c>
      <c r="S240" s="28" t="b">
        <f t="shared" si="13"/>
        <v>0</v>
      </c>
    </row>
    <row r="241" spans="16:19" x14ac:dyDescent="0.2">
      <c r="P241" s="32"/>
      <c r="Q241" s="33"/>
      <c r="R241" s="28" t="b">
        <f t="shared" si="12"/>
        <v>0</v>
      </c>
      <c r="S241" s="28" t="b">
        <f t="shared" si="13"/>
        <v>0</v>
      </c>
    </row>
    <row r="242" spans="16:19" x14ac:dyDescent="0.2">
      <c r="P242" s="32"/>
      <c r="Q242" s="33"/>
      <c r="R242" s="28" t="b">
        <f t="shared" si="12"/>
        <v>0</v>
      </c>
      <c r="S242" s="28" t="b">
        <f t="shared" si="13"/>
        <v>0</v>
      </c>
    </row>
    <row r="243" spans="16:19" x14ac:dyDescent="0.2">
      <c r="P243" s="32"/>
      <c r="Q243" s="33"/>
      <c r="R243" s="28" t="b">
        <f t="shared" si="12"/>
        <v>0</v>
      </c>
      <c r="S243" s="28" t="b">
        <f t="shared" si="13"/>
        <v>0</v>
      </c>
    </row>
    <row r="244" spans="16:19" x14ac:dyDescent="0.2">
      <c r="P244" s="32"/>
      <c r="Q244" s="33"/>
      <c r="R244" s="28" t="b">
        <f t="shared" si="12"/>
        <v>0</v>
      </c>
      <c r="S244" s="28" t="b">
        <f t="shared" si="13"/>
        <v>0</v>
      </c>
    </row>
    <row r="245" spans="16:19" x14ac:dyDescent="0.2">
      <c r="P245" s="32"/>
      <c r="Q245" s="33"/>
      <c r="R245" s="28" t="b">
        <f t="shared" si="12"/>
        <v>0</v>
      </c>
      <c r="S245" s="28" t="b">
        <f t="shared" si="13"/>
        <v>0</v>
      </c>
    </row>
    <row r="246" spans="16:19" x14ac:dyDescent="0.2">
      <c r="P246" s="32"/>
      <c r="Q246" s="33"/>
      <c r="R246" s="28" t="b">
        <f t="shared" si="12"/>
        <v>0</v>
      </c>
      <c r="S246" s="28" t="b">
        <f t="shared" si="13"/>
        <v>0</v>
      </c>
    </row>
    <row r="247" spans="16:19" x14ac:dyDescent="0.2">
      <c r="P247" s="32"/>
      <c r="Q247" s="33"/>
      <c r="R247" s="28" t="b">
        <f t="shared" si="12"/>
        <v>0</v>
      </c>
      <c r="S247" s="28" t="b">
        <f t="shared" si="13"/>
        <v>0</v>
      </c>
    </row>
    <row r="248" spans="16:19" x14ac:dyDescent="0.2">
      <c r="P248" s="32"/>
      <c r="Q248" s="33"/>
      <c r="R248" s="28" t="b">
        <f t="shared" si="12"/>
        <v>0</v>
      </c>
      <c r="S248" s="28" t="b">
        <f t="shared" si="13"/>
        <v>0</v>
      </c>
    </row>
    <row r="249" spans="16:19" x14ac:dyDescent="0.2">
      <c r="P249" s="32"/>
      <c r="Q249" s="33"/>
      <c r="R249" s="28" t="b">
        <f t="shared" si="12"/>
        <v>0</v>
      </c>
      <c r="S249" s="28" t="b">
        <f t="shared" si="13"/>
        <v>0</v>
      </c>
    </row>
    <row r="250" spans="16:19" x14ac:dyDescent="0.2">
      <c r="P250" s="32"/>
      <c r="Q250" s="33"/>
      <c r="R250" s="28" t="b">
        <f t="shared" si="12"/>
        <v>0</v>
      </c>
      <c r="S250" s="28" t="b">
        <f t="shared" si="13"/>
        <v>0</v>
      </c>
    </row>
    <row r="251" spans="16:19" x14ac:dyDescent="0.2">
      <c r="P251" s="32"/>
      <c r="Q251" s="33"/>
      <c r="R251" s="28" t="b">
        <f t="shared" si="12"/>
        <v>0</v>
      </c>
      <c r="S251" s="28" t="b">
        <f t="shared" si="13"/>
        <v>0</v>
      </c>
    </row>
    <row r="252" spans="16:19" x14ac:dyDescent="0.2">
      <c r="P252" s="32"/>
      <c r="Q252" s="33"/>
      <c r="R252" s="28" t="b">
        <f t="shared" si="12"/>
        <v>0</v>
      </c>
      <c r="S252" s="28" t="b">
        <f t="shared" si="13"/>
        <v>0</v>
      </c>
    </row>
  </sheetData>
  <sheetProtection selectLockedCells="1"/>
  <mergeCells count="12">
    <mergeCell ref="A38:C38"/>
    <mergeCell ref="A34:C34"/>
    <mergeCell ref="A31:C31"/>
    <mergeCell ref="A20:C20"/>
    <mergeCell ref="E1:G1"/>
    <mergeCell ref="E26:G26"/>
    <mergeCell ref="A1:B2"/>
    <mergeCell ref="C1:C2"/>
    <mergeCell ref="B4:C4"/>
    <mergeCell ref="B3:C3"/>
    <mergeCell ref="A15:C15"/>
    <mergeCell ref="A8:C8"/>
  </mergeCells>
  <phoneticPr fontId="1" type="noConversion"/>
  <pageMargins left="0.39370078740157483" right="0.39370078740157483" top="0.82677165354330717" bottom="0.31496062992125984" header="0.19685039370078741" footer="0.11811023622047245"/>
  <pageSetup paperSize="9" scale="61" orientation="landscape" r:id="rId1"/>
  <headerFooter alignWithMargins="0">
    <oddHeader>&amp;C&amp;"Arial,Fett"&amp;14Ermittlung von Auslöseschwellen nach § 12 (1) DepV</oddHeader>
    <oddFooter>&amp;L&amp;G&amp;RVersion 2.1 (2018)</oddFooter>
  </headerFooter>
  <ignoredErrors>
    <ignoredError sqref="B3:C4" unlockedFormula="1"/>
  </ignoredError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2"/>
  <sheetViews>
    <sheetView zoomScale="75" workbookViewId="0">
      <selection activeCell="C35" sqref="C35"/>
    </sheetView>
  </sheetViews>
  <sheetFormatPr baseColWidth="10" defaultColWidth="11.5703125" defaultRowHeight="12.75" x14ac:dyDescent="0.2"/>
  <cols>
    <col min="1" max="1" width="25.7109375" style="1" customWidth="1"/>
    <col min="2" max="2" width="14.5703125" style="1" customWidth="1"/>
    <col min="3" max="3" width="21.28515625" style="1" customWidth="1"/>
    <col min="4" max="4" width="5.42578125" style="1" customWidth="1"/>
    <col min="5" max="5" width="11.5703125" style="1"/>
    <col min="6" max="6" width="17.5703125" style="1" customWidth="1"/>
    <col min="7" max="7" width="12.42578125" style="1" bestFit="1" customWidth="1"/>
    <col min="8" max="8" width="17.85546875" style="1" customWidth="1"/>
    <col min="9" max="9" width="11.5703125" style="1"/>
    <col min="10" max="10" width="15.140625" style="1" customWidth="1"/>
    <col min="11" max="11" width="12.42578125" style="1" bestFit="1" customWidth="1"/>
    <col min="12" max="12" width="14.42578125" style="1" customWidth="1"/>
    <col min="13" max="13" width="12.42578125" style="1" customWidth="1"/>
    <col min="14" max="14" width="14.7109375" style="1" customWidth="1"/>
    <col min="15" max="15" width="23.28515625" style="1" customWidth="1"/>
    <col min="16" max="16" width="12" style="1" customWidth="1"/>
    <col min="17" max="17" width="15.28515625" style="1" bestFit="1" customWidth="1"/>
    <col min="18" max="16384" width="11.5703125" style="1"/>
  </cols>
  <sheetData>
    <row r="1" spans="1:21" ht="15" customHeight="1" x14ac:dyDescent="0.25">
      <c r="A1" s="153" t="s">
        <v>146</v>
      </c>
      <c r="B1" s="153"/>
      <c r="C1" s="169"/>
      <c r="D1" s="19"/>
      <c r="E1" s="148" t="s">
        <v>91</v>
      </c>
      <c r="F1" s="148"/>
      <c r="G1" s="148"/>
      <c r="H1" s="19"/>
      <c r="I1" s="19"/>
      <c r="J1" s="19"/>
      <c r="K1" s="19"/>
      <c r="L1" s="19"/>
      <c r="M1" s="19"/>
      <c r="N1" s="35"/>
      <c r="O1" s="19"/>
    </row>
    <row r="2" spans="1:21" ht="15" customHeight="1" x14ac:dyDescent="0.2">
      <c r="A2" s="153"/>
      <c r="B2" s="153"/>
      <c r="C2" s="169"/>
      <c r="D2" s="19"/>
      <c r="E2" s="19"/>
      <c r="F2" s="19"/>
      <c r="G2" s="19"/>
      <c r="H2" s="19"/>
      <c r="I2" s="19"/>
      <c r="J2" s="19"/>
      <c r="K2" s="19"/>
      <c r="L2" s="19"/>
      <c r="M2" s="19"/>
      <c r="N2" s="35"/>
      <c r="O2" s="19"/>
      <c r="P2" s="120" t="s">
        <v>0</v>
      </c>
      <c r="Q2" s="120" t="s">
        <v>34</v>
      </c>
      <c r="R2" s="121" t="s">
        <v>57</v>
      </c>
      <c r="S2" s="121" t="s">
        <v>58</v>
      </c>
    </row>
    <row r="3" spans="1:21" ht="15" customHeight="1" x14ac:dyDescent="0.2">
      <c r="A3" s="117" t="s">
        <v>100</v>
      </c>
      <c r="B3" s="172">
        <f>pH!B3</f>
        <v>0</v>
      </c>
      <c r="C3" s="172"/>
      <c r="D3" s="19"/>
      <c r="E3" s="19"/>
      <c r="F3" s="19"/>
      <c r="G3" s="19"/>
      <c r="H3" s="36"/>
      <c r="I3" s="19"/>
      <c r="J3" s="19"/>
      <c r="K3" s="19"/>
      <c r="L3" s="19"/>
      <c r="M3" s="19"/>
      <c r="N3" s="19"/>
      <c r="O3" s="19"/>
      <c r="P3" s="32"/>
      <c r="Q3" s="33"/>
      <c r="R3" s="28" t="b">
        <f>IF($P3&gt;0,$B$17+$B$18*$P3)</f>
        <v>0</v>
      </c>
      <c r="S3" s="28" t="b">
        <f>IF($P3&gt;0,$Q3-$R3)</f>
        <v>0</v>
      </c>
    </row>
    <row r="4" spans="1:21" ht="15" customHeight="1" x14ac:dyDescent="0.2">
      <c r="A4" s="117" t="s">
        <v>101</v>
      </c>
      <c r="B4" s="170">
        <f>pH!B4</f>
        <v>0</v>
      </c>
      <c r="C4" s="171"/>
      <c r="D4" s="19"/>
      <c r="E4" s="19"/>
      <c r="F4" s="19"/>
      <c r="G4" s="19"/>
      <c r="H4" s="19"/>
      <c r="I4" s="19"/>
      <c r="J4" s="19"/>
      <c r="K4" s="19"/>
      <c r="L4" s="19"/>
      <c r="M4" s="19"/>
      <c r="N4" s="19"/>
      <c r="O4" s="19"/>
      <c r="P4" s="48"/>
      <c r="Q4" s="49"/>
      <c r="R4" s="28" t="b">
        <f t="shared" ref="R4:R67" si="0">IF($P4&gt;0,$B$17+$B$18*$P4)</f>
        <v>0</v>
      </c>
      <c r="S4" s="28" t="b">
        <f t="shared" ref="S4:S67" si="1">IF($P4&gt;0,$Q4-$R4)</f>
        <v>0</v>
      </c>
    </row>
    <row r="5" spans="1:21" ht="15" customHeight="1" x14ac:dyDescent="0.2">
      <c r="A5" s="130" t="s">
        <v>102</v>
      </c>
      <c r="B5" s="29"/>
      <c r="C5" s="19"/>
      <c r="D5" s="19"/>
      <c r="E5" s="19"/>
      <c r="F5" s="19"/>
      <c r="G5" s="19"/>
      <c r="H5" s="19"/>
      <c r="I5" s="19"/>
      <c r="J5" s="19"/>
      <c r="K5" s="19"/>
      <c r="L5" s="19"/>
      <c r="M5" s="19"/>
      <c r="N5" s="19"/>
      <c r="O5" s="19"/>
      <c r="P5" s="32"/>
      <c r="Q5" s="33"/>
      <c r="R5" s="28" t="b">
        <f t="shared" si="0"/>
        <v>0</v>
      </c>
      <c r="S5" s="28" t="b">
        <f t="shared" si="1"/>
        <v>0</v>
      </c>
    </row>
    <row r="6" spans="1:21" ht="15" customHeight="1" x14ac:dyDescent="0.2">
      <c r="A6" s="130" t="s">
        <v>18</v>
      </c>
      <c r="B6" s="34"/>
      <c r="C6" s="19"/>
      <c r="D6" s="19"/>
      <c r="E6" s="19"/>
      <c r="F6" s="19"/>
      <c r="G6" s="19"/>
      <c r="H6" s="19"/>
      <c r="I6" s="19"/>
      <c r="J6" s="19"/>
      <c r="K6" s="19"/>
      <c r="L6" s="19"/>
      <c r="M6" s="19"/>
      <c r="N6" s="19"/>
      <c r="O6" s="19"/>
      <c r="P6" s="32"/>
      <c r="Q6" s="33"/>
      <c r="R6" s="28" t="b">
        <f t="shared" si="0"/>
        <v>0</v>
      </c>
      <c r="S6" s="28" t="b">
        <f t="shared" si="1"/>
        <v>0</v>
      </c>
    </row>
    <row r="7" spans="1:21" ht="15" customHeight="1" x14ac:dyDescent="0.2">
      <c r="A7" s="26"/>
      <c r="B7" s="19"/>
      <c r="C7" s="19"/>
      <c r="D7" s="19"/>
      <c r="E7" s="19"/>
      <c r="F7" s="19"/>
      <c r="G7" s="36"/>
      <c r="H7" s="19"/>
      <c r="I7" s="19"/>
      <c r="J7" s="19"/>
      <c r="K7" s="19"/>
      <c r="L7" s="19"/>
      <c r="M7" s="19"/>
      <c r="N7" s="19"/>
      <c r="O7" s="19"/>
      <c r="P7" s="32"/>
      <c r="Q7" s="33"/>
      <c r="R7" s="28" t="b">
        <f t="shared" si="0"/>
        <v>0</v>
      </c>
      <c r="S7" s="28" t="b">
        <f t="shared" si="1"/>
        <v>0</v>
      </c>
    </row>
    <row r="8" spans="1:21" ht="15" customHeight="1" x14ac:dyDescent="0.25">
      <c r="A8" s="144" t="s">
        <v>12</v>
      </c>
      <c r="B8" s="144"/>
      <c r="C8" s="144"/>
      <c r="D8" s="19"/>
      <c r="E8" s="19"/>
      <c r="F8" s="19"/>
      <c r="G8" s="19"/>
      <c r="H8" s="19"/>
      <c r="I8" s="19"/>
      <c r="J8" s="19"/>
      <c r="K8" s="19"/>
      <c r="L8" s="19"/>
      <c r="M8" s="19"/>
      <c r="N8" s="19"/>
      <c r="O8" s="19"/>
      <c r="P8" s="32"/>
      <c r="Q8" s="33"/>
      <c r="R8" s="28" t="b">
        <f t="shared" si="0"/>
        <v>0</v>
      </c>
      <c r="S8" s="28" t="b">
        <f t="shared" si="1"/>
        <v>0</v>
      </c>
    </row>
    <row r="9" spans="1:21" ht="15" customHeight="1" x14ac:dyDescent="0.2">
      <c r="A9" s="117" t="s">
        <v>11</v>
      </c>
      <c r="B9" s="20">
        <f>COUNT($Q3:$Q252)</f>
        <v>0</v>
      </c>
      <c r="C9" s="50"/>
      <c r="D9" s="19"/>
      <c r="E9" s="19"/>
      <c r="F9" s="19"/>
      <c r="G9" s="19"/>
      <c r="H9" s="19"/>
      <c r="I9" s="19"/>
      <c r="J9" s="19"/>
      <c r="K9" s="19"/>
      <c r="L9" s="19"/>
      <c r="M9" s="19"/>
      <c r="N9" s="19"/>
      <c r="O9" s="19"/>
      <c r="P9" s="32"/>
      <c r="Q9" s="33"/>
      <c r="R9" s="28" t="b">
        <f t="shared" si="0"/>
        <v>0</v>
      </c>
      <c r="S9" s="28" t="b">
        <f t="shared" si="1"/>
        <v>0</v>
      </c>
    </row>
    <row r="10" spans="1:21" ht="15" customHeight="1" x14ac:dyDescent="0.2">
      <c r="A10" s="117" t="s">
        <v>7</v>
      </c>
      <c r="B10" s="21">
        <f>MIN($Q3:$Q252)</f>
        <v>0</v>
      </c>
      <c r="C10" s="50"/>
      <c r="D10" s="19"/>
      <c r="E10" s="19"/>
      <c r="F10" s="19"/>
      <c r="G10" s="19"/>
      <c r="H10" s="19"/>
      <c r="I10" s="19"/>
      <c r="J10" s="19"/>
      <c r="K10" s="19"/>
      <c r="L10" s="19"/>
      <c r="M10" s="19"/>
      <c r="N10" s="19"/>
      <c r="O10" s="19"/>
      <c r="P10" s="32"/>
      <c r="Q10" s="33"/>
      <c r="R10" s="28" t="b">
        <f t="shared" si="0"/>
        <v>0</v>
      </c>
      <c r="S10" s="28" t="b">
        <f t="shared" si="1"/>
        <v>0</v>
      </c>
    </row>
    <row r="11" spans="1:21" ht="15" customHeight="1" x14ac:dyDescent="0.2">
      <c r="A11" s="117" t="s">
        <v>8</v>
      </c>
      <c r="B11" s="21">
        <f>MAX($Q3:$Q252)</f>
        <v>0</v>
      </c>
      <c r="C11" s="50"/>
      <c r="D11" s="19"/>
      <c r="E11" s="19"/>
      <c r="F11" s="19"/>
      <c r="G11" s="19"/>
      <c r="H11" s="19"/>
      <c r="I11" s="19"/>
      <c r="J11" s="19"/>
      <c r="K11" s="19"/>
      <c r="L11" s="19"/>
      <c r="M11" s="19"/>
      <c r="N11" s="19"/>
      <c r="O11" s="19"/>
      <c r="P11" s="32"/>
      <c r="Q11" s="33"/>
      <c r="R11" s="28" t="b">
        <f t="shared" si="0"/>
        <v>0</v>
      </c>
      <c r="S11" s="28" t="b">
        <f t="shared" si="1"/>
        <v>0</v>
      </c>
      <c r="U11" s="3"/>
    </row>
    <row r="12" spans="1:21" ht="15" customHeight="1" x14ac:dyDescent="0.2">
      <c r="A12" s="117" t="s">
        <v>68</v>
      </c>
      <c r="B12" s="21" t="e">
        <f>MEDIAN($Q3:$Q252)</f>
        <v>#NUM!</v>
      </c>
      <c r="C12" s="50"/>
      <c r="D12" s="19"/>
      <c r="E12" s="19"/>
      <c r="F12" s="19"/>
      <c r="G12" s="19"/>
      <c r="H12" s="19"/>
      <c r="I12" s="19"/>
      <c r="J12" s="19"/>
      <c r="K12" s="19"/>
      <c r="L12" s="19"/>
      <c r="M12" s="19"/>
      <c r="N12" s="19"/>
      <c r="O12" s="19"/>
      <c r="P12" s="32"/>
      <c r="Q12" s="33"/>
      <c r="R12" s="28" t="b">
        <f t="shared" si="0"/>
        <v>0</v>
      </c>
      <c r="S12" s="28" t="b">
        <f t="shared" si="1"/>
        <v>0</v>
      </c>
    </row>
    <row r="13" spans="1:21" ht="15" customHeight="1" x14ac:dyDescent="0.2">
      <c r="A13" s="117" t="s">
        <v>69</v>
      </c>
      <c r="B13" s="20" t="e">
        <f>IF(ABS($B$16)&gt;$J$58,"&gt; 99%",IF(ABS($B$16)&gt;$I$58,"&gt; 95%","nicht signifikant"))</f>
        <v>#DIV/0!</v>
      </c>
      <c r="C13" s="50"/>
      <c r="D13" s="19"/>
      <c r="E13" s="19"/>
      <c r="F13" s="19"/>
      <c r="G13" s="19"/>
      <c r="H13" s="19"/>
      <c r="I13" s="19"/>
      <c r="J13" s="36"/>
      <c r="K13" s="19"/>
      <c r="L13" s="19"/>
      <c r="M13" s="19"/>
      <c r="N13" s="19"/>
      <c r="O13" s="19"/>
      <c r="P13" s="32"/>
      <c r="Q13" s="33"/>
      <c r="R13" s="28" t="b">
        <f t="shared" si="0"/>
        <v>0</v>
      </c>
      <c r="S13" s="28" t="b">
        <f t="shared" si="1"/>
        <v>0</v>
      </c>
    </row>
    <row r="14" spans="1:21" ht="15" customHeight="1" x14ac:dyDescent="0.2">
      <c r="A14" s="26"/>
      <c r="B14" s="26"/>
      <c r="C14" s="26"/>
      <c r="D14" s="19"/>
      <c r="E14" s="19"/>
      <c r="F14" s="19"/>
      <c r="G14" s="19"/>
      <c r="H14" s="19"/>
      <c r="I14" s="19"/>
      <c r="J14" s="19"/>
      <c r="K14" s="19"/>
      <c r="L14" s="19"/>
      <c r="M14" s="19"/>
      <c r="N14" s="19"/>
      <c r="O14" s="19"/>
      <c r="P14" s="32"/>
      <c r="Q14" s="33"/>
      <c r="R14" s="28" t="b">
        <f t="shared" si="0"/>
        <v>0</v>
      </c>
      <c r="S14" s="28" t="b">
        <f t="shared" si="1"/>
        <v>0</v>
      </c>
    </row>
    <row r="15" spans="1:21" ht="15" customHeight="1" x14ac:dyDescent="0.25">
      <c r="A15" s="144" t="s">
        <v>42</v>
      </c>
      <c r="B15" s="144"/>
      <c r="C15" s="144"/>
      <c r="D15" s="19"/>
      <c r="E15" s="19"/>
      <c r="F15" s="19"/>
      <c r="G15" s="19"/>
      <c r="H15" s="19"/>
      <c r="I15" s="19"/>
      <c r="J15" s="19"/>
      <c r="K15" s="19"/>
      <c r="L15" s="19"/>
      <c r="M15" s="19"/>
      <c r="N15" s="19"/>
      <c r="O15" s="19"/>
      <c r="P15" s="32"/>
      <c r="Q15" s="33"/>
      <c r="R15" s="28" t="b">
        <f t="shared" si="0"/>
        <v>0</v>
      </c>
      <c r="S15" s="28" t="b">
        <f t="shared" si="1"/>
        <v>0</v>
      </c>
    </row>
    <row r="16" spans="1:21" ht="15" customHeight="1" x14ac:dyDescent="0.2">
      <c r="A16" s="118" t="s">
        <v>83</v>
      </c>
      <c r="B16" s="22" t="e">
        <f>CORREL($Q$3:$Q$252,$P$3:$P$252)</f>
        <v>#DIV/0!</v>
      </c>
      <c r="C16" s="50"/>
      <c r="D16" s="19"/>
      <c r="E16" s="19"/>
      <c r="F16" s="19"/>
      <c r="G16" s="19"/>
      <c r="H16" s="19"/>
      <c r="I16" s="19"/>
      <c r="J16" s="19"/>
      <c r="K16" s="19"/>
      <c r="L16" s="19"/>
      <c r="M16" s="19"/>
      <c r="N16" s="19"/>
      <c r="O16" s="19"/>
      <c r="P16" s="32"/>
      <c r="Q16" s="33"/>
      <c r="R16" s="28" t="b">
        <f t="shared" si="0"/>
        <v>0</v>
      </c>
      <c r="S16" s="28" t="b">
        <f t="shared" si="1"/>
        <v>0</v>
      </c>
    </row>
    <row r="17" spans="1:19" ht="15" customHeight="1" x14ac:dyDescent="0.2">
      <c r="A17" s="118" t="s">
        <v>84</v>
      </c>
      <c r="B17" s="22" t="e">
        <f>INTERCEPT($Q$3:$Q$252,$P$3:$P$252)</f>
        <v>#DIV/0!</v>
      </c>
      <c r="C17" s="50"/>
      <c r="D17" s="19"/>
      <c r="E17" s="19"/>
      <c r="F17" s="19"/>
      <c r="G17" s="19"/>
      <c r="H17" s="19"/>
      <c r="I17" s="19"/>
      <c r="J17" s="19"/>
      <c r="K17" s="19"/>
      <c r="L17" s="19"/>
      <c r="M17" s="19"/>
      <c r="N17" s="19"/>
      <c r="O17" s="19"/>
      <c r="P17" s="32"/>
      <c r="Q17" s="33"/>
      <c r="R17" s="28" t="b">
        <f t="shared" si="0"/>
        <v>0</v>
      </c>
      <c r="S17" s="28" t="b">
        <f t="shared" si="1"/>
        <v>0</v>
      </c>
    </row>
    <row r="18" spans="1:19" ht="15" customHeight="1" x14ac:dyDescent="0.2">
      <c r="A18" s="118" t="s">
        <v>39</v>
      </c>
      <c r="B18" s="22" t="e">
        <f>SLOPE($Q$3:$Q$252,$P$3:$P$252)</f>
        <v>#DIV/0!</v>
      </c>
      <c r="C18" s="50"/>
      <c r="D18" s="19"/>
      <c r="E18" s="19"/>
      <c r="F18" s="19"/>
      <c r="G18" s="19"/>
      <c r="H18" s="19"/>
      <c r="I18" s="19"/>
      <c r="J18" s="37"/>
      <c r="K18" s="19"/>
      <c r="L18" s="19"/>
      <c r="M18" s="19"/>
      <c r="N18" s="19"/>
      <c r="O18" s="19"/>
      <c r="P18" s="32"/>
      <c r="Q18" s="33"/>
      <c r="R18" s="28" t="b">
        <f t="shared" si="0"/>
        <v>0</v>
      </c>
      <c r="S18" s="28" t="b">
        <f t="shared" si="1"/>
        <v>0</v>
      </c>
    </row>
    <row r="19" spans="1:19" ht="15" customHeight="1" x14ac:dyDescent="0.2">
      <c r="A19" s="26"/>
      <c r="B19" s="26"/>
      <c r="C19" s="26"/>
      <c r="D19" s="19"/>
      <c r="E19" s="19"/>
      <c r="F19" s="19"/>
      <c r="G19" s="19"/>
      <c r="H19" s="19"/>
      <c r="I19" s="19"/>
      <c r="J19" s="19"/>
      <c r="K19" s="19"/>
      <c r="L19" s="19"/>
      <c r="M19" s="19"/>
      <c r="N19" s="19"/>
      <c r="O19" s="19"/>
      <c r="P19" s="32"/>
      <c r="Q19" s="33"/>
      <c r="R19" s="28" t="b">
        <f t="shared" si="0"/>
        <v>0</v>
      </c>
      <c r="S19" s="28" t="b">
        <f t="shared" si="1"/>
        <v>0</v>
      </c>
    </row>
    <row r="20" spans="1:19" ht="15" customHeight="1" x14ac:dyDescent="0.25">
      <c r="A20" s="144" t="s">
        <v>63</v>
      </c>
      <c r="B20" s="144"/>
      <c r="C20" s="144"/>
      <c r="D20" s="19"/>
      <c r="E20" s="19"/>
      <c r="F20" s="19"/>
      <c r="G20" s="19"/>
      <c r="H20" s="19"/>
      <c r="I20" s="35"/>
      <c r="J20" s="19"/>
      <c r="K20" s="38"/>
      <c r="L20" s="19"/>
      <c r="M20" s="19"/>
      <c r="N20" s="19"/>
      <c r="O20" s="19"/>
      <c r="P20" s="32"/>
      <c r="Q20" s="33"/>
      <c r="R20" s="28" t="b">
        <f t="shared" si="0"/>
        <v>0</v>
      </c>
      <c r="S20" s="28" t="b">
        <f t="shared" si="1"/>
        <v>0</v>
      </c>
    </row>
    <row r="21" spans="1:19" ht="15" customHeight="1" x14ac:dyDescent="0.2">
      <c r="A21" s="117" t="s">
        <v>7</v>
      </c>
      <c r="B21" s="21">
        <f>MIN($S$3:$S$252)</f>
        <v>0</v>
      </c>
      <c r="C21" s="50"/>
      <c r="D21" s="19"/>
      <c r="E21" s="19"/>
      <c r="F21" s="19"/>
      <c r="G21" s="19"/>
      <c r="H21" s="19"/>
      <c r="I21" s="19"/>
      <c r="J21" s="19"/>
      <c r="K21" s="19"/>
      <c r="L21" s="19"/>
      <c r="M21" s="19"/>
      <c r="N21" s="19"/>
      <c r="O21" s="19"/>
      <c r="P21" s="32"/>
      <c r="Q21" s="33"/>
      <c r="R21" s="28" t="b">
        <f t="shared" si="0"/>
        <v>0</v>
      </c>
      <c r="S21" s="28" t="b">
        <f t="shared" si="1"/>
        <v>0</v>
      </c>
    </row>
    <row r="22" spans="1:19" ht="15" customHeight="1" x14ac:dyDescent="0.2">
      <c r="A22" s="117" t="s">
        <v>8</v>
      </c>
      <c r="B22" s="21">
        <f>MAX($S$3:$S$252)</f>
        <v>0</v>
      </c>
      <c r="C22" s="50"/>
      <c r="D22" s="19"/>
      <c r="E22" s="19"/>
      <c r="F22" s="19"/>
      <c r="G22" s="19"/>
      <c r="H22" s="19"/>
      <c r="I22" s="19"/>
      <c r="J22" s="19"/>
      <c r="K22" s="19"/>
      <c r="L22" s="19"/>
      <c r="M22" s="19"/>
      <c r="N22" s="19"/>
      <c r="O22" s="19"/>
      <c r="P22" s="32"/>
      <c r="Q22" s="33"/>
      <c r="R22" s="28" t="b">
        <f t="shared" si="0"/>
        <v>0</v>
      </c>
      <c r="S22" s="28" t="b">
        <f t="shared" si="1"/>
        <v>0</v>
      </c>
    </row>
    <row r="23" spans="1:19" ht="15" customHeight="1" x14ac:dyDescent="0.2">
      <c r="A23" s="117" t="s">
        <v>68</v>
      </c>
      <c r="B23" s="21" t="e">
        <f>MEDIAN($S$3:$S$252)</f>
        <v>#NUM!</v>
      </c>
      <c r="C23" s="50"/>
      <c r="D23" s="19"/>
      <c r="E23" s="19"/>
      <c r="F23" s="19"/>
      <c r="G23" s="19"/>
      <c r="H23" s="19"/>
      <c r="I23" s="19"/>
      <c r="J23" s="19"/>
      <c r="K23" s="19"/>
      <c r="L23" s="19"/>
      <c r="M23" s="19"/>
      <c r="N23" s="19"/>
      <c r="O23" s="19"/>
      <c r="P23" s="32"/>
      <c r="Q23" s="33"/>
      <c r="R23" s="28" t="b">
        <f t="shared" si="0"/>
        <v>0</v>
      </c>
      <c r="S23" s="28" t="b">
        <f t="shared" si="1"/>
        <v>0</v>
      </c>
    </row>
    <row r="24" spans="1:19" ht="15" customHeight="1" x14ac:dyDescent="0.2">
      <c r="A24" s="117" t="s">
        <v>73</v>
      </c>
      <c r="B24" s="21" t="e">
        <f>AVERAGE($S$3:$S$252)</f>
        <v>#DIV/0!</v>
      </c>
      <c r="C24" s="50"/>
      <c r="D24" s="19"/>
      <c r="E24" s="19"/>
      <c r="F24" s="19"/>
      <c r="G24" s="19"/>
      <c r="H24" s="19"/>
      <c r="I24" s="19"/>
      <c r="J24" s="19"/>
      <c r="K24" s="19"/>
      <c r="L24" s="19"/>
      <c r="M24" s="19"/>
      <c r="N24" s="19"/>
      <c r="O24" s="19"/>
      <c r="P24" s="32"/>
      <c r="Q24" s="33"/>
      <c r="R24" s="28" t="b">
        <f t="shared" si="0"/>
        <v>0</v>
      </c>
      <c r="S24" s="28" t="b">
        <f t="shared" si="1"/>
        <v>0</v>
      </c>
    </row>
    <row r="25" spans="1:19" ht="15" customHeight="1" x14ac:dyDescent="0.2">
      <c r="A25" s="117" t="s">
        <v>75</v>
      </c>
      <c r="B25" s="23" t="e">
        <f>STDEV($S$3:$S$252)</f>
        <v>#DIV/0!</v>
      </c>
      <c r="C25" s="50"/>
      <c r="D25" s="19"/>
      <c r="E25" s="19"/>
      <c r="F25" s="19"/>
      <c r="G25" s="19"/>
      <c r="H25" s="19"/>
      <c r="I25" s="19"/>
      <c r="J25" s="19"/>
      <c r="K25" s="19"/>
      <c r="L25" s="19"/>
      <c r="M25" s="19"/>
      <c r="N25" s="19"/>
      <c r="O25" s="19"/>
      <c r="P25" s="32"/>
      <c r="Q25" s="33"/>
      <c r="R25" s="28" t="b">
        <f t="shared" si="0"/>
        <v>0</v>
      </c>
      <c r="S25" s="28" t="b">
        <f t="shared" si="1"/>
        <v>0</v>
      </c>
    </row>
    <row r="26" spans="1:19" ht="15" customHeight="1" x14ac:dyDescent="0.25">
      <c r="A26" s="117" t="s">
        <v>92</v>
      </c>
      <c r="B26" s="24" t="e">
        <f>((NORMINV(0.83,B24,B25)-B23)-(B23-NORMINV(0.17,B24,B25)))/(NORMINV(0.83,B24,B25)-NORMINV(0.17,B24,B25))</f>
        <v>#DIV/0!</v>
      </c>
      <c r="C26" s="50"/>
      <c r="D26" s="19"/>
      <c r="E26" s="148"/>
      <c r="F26" s="148"/>
      <c r="G26" s="148"/>
      <c r="H26" s="19"/>
      <c r="I26" s="19"/>
      <c r="J26" s="19"/>
      <c r="K26" s="19"/>
      <c r="L26" s="19"/>
      <c r="M26" s="19"/>
      <c r="N26" s="19"/>
      <c r="O26" s="19"/>
      <c r="P26" s="32"/>
      <c r="Q26" s="33"/>
      <c r="R26" s="28" t="b">
        <f t="shared" si="0"/>
        <v>0</v>
      </c>
      <c r="S26" s="28" t="b">
        <f t="shared" si="1"/>
        <v>0</v>
      </c>
    </row>
    <row r="27" spans="1:19" ht="15" customHeight="1" x14ac:dyDescent="0.2">
      <c r="A27" s="117" t="s">
        <v>85</v>
      </c>
      <c r="B27" s="21" t="e">
        <f>NORMINV(0.95,0,B25)</f>
        <v>#DIV/0!</v>
      </c>
      <c r="C27" s="50"/>
      <c r="D27" s="19"/>
      <c r="E27" s="19"/>
      <c r="F27" s="19"/>
      <c r="G27" s="19"/>
      <c r="H27" s="19"/>
      <c r="I27" s="19"/>
      <c r="J27" s="19"/>
      <c r="K27" s="19"/>
      <c r="L27" s="19"/>
      <c r="M27" s="19"/>
      <c r="N27" s="19"/>
      <c r="O27" s="19"/>
      <c r="P27" s="32"/>
      <c r="Q27" s="33"/>
      <c r="R27" s="28" t="b">
        <f t="shared" si="0"/>
        <v>0</v>
      </c>
      <c r="S27" s="28" t="b">
        <f t="shared" si="1"/>
        <v>0</v>
      </c>
    </row>
    <row r="28" spans="1:19" ht="15" customHeight="1" x14ac:dyDescent="0.2">
      <c r="A28" s="117" t="s">
        <v>86</v>
      </c>
      <c r="B28" s="21" t="e">
        <f>NORMINV(0.98,0,B25)</f>
        <v>#DIV/0!</v>
      </c>
      <c r="C28" s="50"/>
      <c r="D28" s="19"/>
      <c r="E28" s="19"/>
      <c r="F28" s="19"/>
      <c r="G28" s="19"/>
      <c r="H28" s="19"/>
      <c r="I28" s="19"/>
      <c r="J28" s="19"/>
      <c r="K28" s="19"/>
      <c r="L28" s="19"/>
      <c r="M28" s="19"/>
      <c r="N28" s="19"/>
      <c r="O28" s="19"/>
      <c r="P28" s="32"/>
      <c r="Q28" s="33"/>
      <c r="R28" s="28" t="b">
        <f t="shared" si="0"/>
        <v>0</v>
      </c>
      <c r="S28" s="28" t="b">
        <f t="shared" si="1"/>
        <v>0</v>
      </c>
    </row>
    <row r="29" spans="1:19" ht="15" customHeight="1" x14ac:dyDescent="0.2">
      <c r="A29" s="117" t="s">
        <v>44</v>
      </c>
      <c r="B29" s="20" t="e">
        <f>IF(((B22-B21)/B25)&gt;INDEX(XX!B4:'XX'!B150,B9-3),"ja","nein")</f>
        <v>#DIV/0!</v>
      </c>
      <c r="C29" s="50"/>
      <c r="D29" s="19"/>
      <c r="E29" s="19"/>
      <c r="F29" s="19"/>
      <c r="G29" s="19"/>
      <c r="H29" s="19"/>
      <c r="I29" s="19"/>
      <c r="J29" s="19"/>
      <c r="K29" s="19"/>
      <c r="L29" s="19"/>
      <c r="M29" s="19"/>
      <c r="N29" s="19"/>
      <c r="O29" s="19"/>
      <c r="P29" s="32"/>
      <c r="Q29" s="33"/>
      <c r="R29" s="28" t="b">
        <f t="shared" si="0"/>
        <v>0</v>
      </c>
      <c r="S29" s="28" t="b">
        <f t="shared" si="1"/>
        <v>0</v>
      </c>
    </row>
    <row r="30" spans="1:19" ht="15" customHeight="1" x14ac:dyDescent="0.2">
      <c r="A30" s="26"/>
      <c r="B30" s="26"/>
      <c r="C30" s="26"/>
      <c r="D30" s="19"/>
      <c r="E30" s="47"/>
      <c r="F30" s="19"/>
      <c r="G30" s="19"/>
      <c r="H30" s="19"/>
      <c r="I30" s="19"/>
      <c r="J30" s="19"/>
      <c r="K30" s="19"/>
      <c r="L30" s="19"/>
      <c r="M30" s="19"/>
      <c r="N30" s="19"/>
      <c r="O30" s="19"/>
      <c r="P30" s="32"/>
      <c r="Q30" s="33"/>
      <c r="R30" s="28" t="b">
        <f t="shared" si="0"/>
        <v>0</v>
      </c>
      <c r="S30" s="28" t="b">
        <f t="shared" si="1"/>
        <v>0</v>
      </c>
    </row>
    <row r="31" spans="1:19" ht="15" customHeight="1" x14ac:dyDescent="0.25">
      <c r="A31" s="168" t="s">
        <v>88</v>
      </c>
      <c r="B31" s="168"/>
      <c r="C31" s="168"/>
      <c r="D31" s="19"/>
      <c r="E31" s="19"/>
      <c r="F31" s="19"/>
      <c r="G31" s="19"/>
      <c r="H31" s="19"/>
      <c r="I31" s="19"/>
      <c r="J31" s="19"/>
      <c r="K31" s="19"/>
      <c r="L31" s="19"/>
      <c r="M31" s="19"/>
      <c r="N31" s="19"/>
      <c r="O31" s="19"/>
      <c r="P31" s="32"/>
      <c r="Q31" s="33"/>
      <c r="R31" s="28" t="b">
        <f t="shared" si="0"/>
        <v>0</v>
      </c>
      <c r="S31" s="28" t="b">
        <f t="shared" si="1"/>
        <v>0</v>
      </c>
    </row>
    <row r="32" spans="1:19" ht="15" customHeight="1" x14ac:dyDescent="0.2">
      <c r="A32" s="130" t="s">
        <v>89</v>
      </c>
      <c r="B32" s="30">
        <v>0</v>
      </c>
      <c r="C32" s="18"/>
      <c r="D32" s="19"/>
      <c r="E32" s="19"/>
      <c r="F32" s="19"/>
      <c r="G32" s="19"/>
      <c r="H32" s="19"/>
      <c r="I32" s="19"/>
      <c r="J32" s="19"/>
      <c r="K32" s="19"/>
      <c r="L32" s="19"/>
      <c r="M32" s="19"/>
      <c r="N32" s="19"/>
      <c r="O32" s="19"/>
      <c r="P32" s="32"/>
      <c r="Q32" s="33"/>
      <c r="R32" s="28" t="b">
        <f t="shared" si="0"/>
        <v>0</v>
      </c>
      <c r="S32" s="28" t="b">
        <f t="shared" si="1"/>
        <v>0</v>
      </c>
    </row>
    <row r="33" spans="1:19" ht="15" customHeight="1" x14ac:dyDescent="0.2">
      <c r="A33" s="26"/>
      <c r="B33" s="26"/>
      <c r="C33" s="26"/>
      <c r="D33" s="19"/>
      <c r="E33" s="19"/>
      <c r="F33" s="19"/>
      <c r="G33" s="19"/>
      <c r="H33" s="19"/>
      <c r="I33" s="19"/>
      <c r="J33" s="19"/>
      <c r="K33" s="19"/>
      <c r="L33" s="19"/>
      <c r="M33" s="19"/>
      <c r="N33" s="19"/>
      <c r="O33" s="19"/>
      <c r="P33" s="32"/>
      <c r="Q33" s="33"/>
      <c r="R33" s="28" t="b">
        <f t="shared" si="0"/>
        <v>0</v>
      </c>
      <c r="S33" s="28" t="b">
        <f t="shared" si="1"/>
        <v>0</v>
      </c>
    </row>
    <row r="34" spans="1:19" ht="15" customHeight="1" x14ac:dyDescent="0.25">
      <c r="A34" s="144" t="s">
        <v>59</v>
      </c>
      <c r="B34" s="144"/>
      <c r="C34" s="144"/>
      <c r="D34" s="19"/>
      <c r="E34" s="119" t="s">
        <v>60</v>
      </c>
      <c r="F34" s="19"/>
      <c r="G34" s="19"/>
      <c r="H34" s="19"/>
      <c r="I34" s="19"/>
      <c r="J34" s="19"/>
      <c r="K34" s="19"/>
      <c r="L34" s="19"/>
      <c r="M34" s="19"/>
      <c r="N34" s="19"/>
      <c r="O34" s="19"/>
      <c r="P34" s="32"/>
      <c r="Q34" s="33"/>
      <c r="R34" s="28" t="b">
        <f t="shared" si="0"/>
        <v>0</v>
      </c>
      <c r="S34" s="28" t="b">
        <f t="shared" si="1"/>
        <v>0</v>
      </c>
    </row>
    <row r="35" spans="1:19" ht="15" customHeight="1" x14ac:dyDescent="0.2">
      <c r="A35" s="130" t="s">
        <v>87</v>
      </c>
      <c r="B35" s="31"/>
      <c r="C35" s="31"/>
      <c r="D35" s="19"/>
      <c r="E35" s="19"/>
      <c r="F35" s="19"/>
      <c r="G35" s="19"/>
      <c r="H35" s="19"/>
      <c r="I35" s="19"/>
      <c r="J35" s="19"/>
      <c r="K35" s="19"/>
      <c r="L35" s="19"/>
      <c r="M35" s="19"/>
      <c r="N35" s="19"/>
      <c r="O35" s="19"/>
      <c r="P35" s="32"/>
      <c r="Q35" s="33"/>
      <c r="R35" s="28" t="b">
        <f t="shared" si="0"/>
        <v>0</v>
      </c>
      <c r="S35" s="28" t="b">
        <f t="shared" si="1"/>
        <v>0</v>
      </c>
    </row>
    <row r="36" spans="1:19" ht="15" customHeight="1" x14ac:dyDescent="0.2">
      <c r="A36" s="117" t="s">
        <v>54</v>
      </c>
      <c r="B36" s="25">
        <f>B35-B32</f>
        <v>0</v>
      </c>
      <c r="C36" s="25">
        <f>C35-B32</f>
        <v>0</v>
      </c>
      <c r="D36" s="19"/>
      <c r="E36" s="19"/>
      <c r="F36" s="19"/>
      <c r="G36" s="19"/>
      <c r="H36" s="19"/>
      <c r="I36" s="19"/>
      <c r="J36" s="19"/>
      <c r="K36" s="19"/>
      <c r="L36" s="19"/>
      <c r="M36" s="19"/>
      <c r="N36" s="19"/>
      <c r="O36" s="19"/>
      <c r="P36" s="32"/>
      <c r="Q36" s="33"/>
      <c r="R36" s="28" t="b">
        <f t="shared" si="0"/>
        <v>0</v>
      </c>
      <c r="S36" s="28" t="b">
        <f t="shared" si="1"/>
        <v>0</v>
      </c>
    </row>
    <row r="37" spans="1:19" ht="15" customHeight="1" x14ac:dyDescent="0.2">
      <c r="A37" s="26"/>
      <c r="B37" s="26"/>
      <c r="C37" s="27"/>
      <c r="D37" s="19"/>
      <c r="E37" s="19"/>
      <c r="F37" s="19"/>
      <c r="G37" s="19"/>
      <c r="H37" s="19"/>
      <c r="I37" s="19"/>
      <c r="J37" s="19"/>
      <c r="K37" s="19"/>
      <c r="L37" s="19"/>
      <c r="M37" s="19"/>
      <c r="N37" s="19"/>
      <c r="O37" s="19"/>
      <c r="P37" s="32"/>
      <c r="Q37" s="33"/>
      <c r="R37" s="28" t="b">
        <f t="shared" si="0"/>
        <v>0</v>
      </c>
      <c r="S37" s="28" t="b">
        <f t="shared" si="1"/>
        <v>0</v>
      </c>
    </row>
    <row r="38" spans="1:19" ht="15" customHeight="1" x14ac:dyDescent="0.25">
      <c r="A38" s="144" t="s">
        <v>90</v>
      </c>
      <c r="B38" s="144"/>
      <c r="C38" s="144"/>
      <c r="D38" s="19"/>
      <c r="E38" s="19"/>
      <c r="F38" s="19"/>
      <c r="G38" s="19"/>
      <c r="H38" s="19"/>
      <c r="I38" s="19"/>
      <c r="J38" s="19"/>
      <c r="K38" s="19"/>
      <c r="L38" s="19"/>
      <c r="M38" s="19"/>
      <c r="N38" s="19"/>
      <c r="O38" s="19"/>
      <c r="P38" s="32"/>
      <c r="Q38" s="33"/>
      <c r="R38" s="28" t="b">
        <f t="shared" si="0"/>
        <v>0</v>
      </c>
      <c r="S38" s="28" t="b">
        <f t="shared" si="1"/>
        <v>0</v>
      </c>
    </row>
    <row r="39" spans="1:19" ht="15" customHeight="1" x14ac:dyDescent="0.2">
      <c r="A39" s="118" t="s">
        <v>67</v>
      </c>
      <c r="B39" s="21" t="e">
        <f>MAX($B$17+$B$18*$B36+$B$28+0.5*$B$6,$B$17+$B$18*$C36+$B$28+0.5*$B$6,$B$6)</f>
        <v>#DIV/0!</v>
      </c>
      <c r="C39" s="50"/>
      <c r="D39" s="19"/>
      <c r="E39" s="19"/>
      <c r="F39" s="19"/>
      <c r="G39" s="19"/>
      <c r="H39" s="19"/>
      <c r="I39" s="19"/>
      <c r="J39" s="19"/>
      <c r="K39" s="19"/>
      <c r="L39" s="19"/>
      <c r="M39" s="19"/>
      <c r="N39" s="19"/>
      <c r="O39" s="19"/>
      <c r="P39" s="32"/>
      <c r="Q39" s="33"/>
      <c r="R39" s="28" t="b">
        <f t="shared" si="0"/>
        <v>0</v>
      </c>
      <c r="S39" s="28" t="b">
        <f t="shared" si="1"/>
        <v>0</v>
      </c>
    </row>
    <row r="40" spans="1:19" ht="15" x14ac:dyDescent="0.2">
      <c r="A40" s="118" t="s">
        <v>61</v>
      </c>
      <c r="B40" s="21" t="e">
        <f>INDEX($R$3:$R$252,B9)+$B$28+0.5*$B$6</f>
        <v>#DIV/0!</v>
      </c>
      <c r="C40" s="50"/>
      <c r="D40" s="19"/>
      <c r="E40" s="19"/>
      <c r="F40" s="19"/>
      <c r="G40" s="19"/>
      <c r="H40" s="19"/>
      <c r="I40" s="19"/>
      <c r="J40" s="19"/>
      <c r="K40" s="19"/>
      <c r="L40" s="19"/>
      <c r="M40" s="19"/>
      <c r="N40" s="19"/>
      <c r="O40" s="19"/>
      <c r="P40" s="32"/>
      <c r="Q40" s="33"/>
      <c r="R40" s="28" t="b">
        <f t="shared" si="0"/>
        <v>0</v>
      </c>
      <c r="S40" s="28" t="b">
        <f t="shared" si="1"/>
        <v>0</v>
      </c>
    </row>
    <row r="41" spans="1:19" ht="15.75" x14ac:dyDescent="0.25">
      <c r="A41" s="116" t="s">
        <v>81</v>
      </c>
      <c r="B41" s="95" t="e">
        <f>IF($B$18&gt;0,B39,MAX(B40,B39))</f>
        <v>#DIV/0!</v>
      </c>
      <c r="C41" s="51"/>
      <c r="D41" s="19"/>
      <c r="E41" s="19"/>
      <c r="F41" s="19"/>
      <c r="G41" s="19"/>
      <c r="H41" s="19"/>
      <c r="I41" s="19"/>
      <c r="J41" s="19"/>
      <c r="K41" s="19"/>
      <c r="L41" s="19"/>
      <c r="M41" s="19"/>
      <c r="N41" s="19"/>
      <c r="O41" s="19"/>
      <c r="P41" s="32"/>
      <c r="Q41" s="33"/>
      <c r="R41" s="28" t="b">
        <f t="shared" si="0"/>
        <v>0</v>
      </c>
      <c r="S41" s="28" t="b">
        <f t="shared" si="1"/>
        <v>0</v>
      </c>
    </row>
    <row r="42" spans="1:19" x14ac:dyDescent="0.2">
      <c r="A42" s="19"/>
      <c r="B42" s="19"/>
      <c r="C42" s="19"/>
      <c r="D42" s="19"/>
      <c r="E42" s="19"/>
      <c r="F42" s="19"/>
      <c r="G42" s="19"/>
      <c r="H42" s="19"/>
      <c r="I42" s="19"/>
      <c r="J42" s="19"/>
      <c r="K42" s="19"/>
      <c r="L42" s="19"/>
      <c r="M42" s="19"/>
      <c r="N42" s="19"/>
      <c r="O42" s="19"/>
      <c r="P42" s="32"/>
      <c r="Q42" s="33"/>
      <c r="R42" s="28" t="b">
        <f t="shared" si="0"/>
        <v>0</v>
      </c>
      <c r="S42" s="28" t="b">
        <f t="shared" si="1"/>
        <v>0</v>
      </c>
    </row>
    <row r="43" spans="1:19" x14ac:dyDescent="0.2">
      <c r="A43" s="19"/>
      <c r="B43" s="19"/>
      <c r="C43" s="19"/>
      <c r="D43" s="19"/>
      <c r="E43" s="19"/>
      <c r="F43" s="19"/>
      <c r="G43" s="19"/>
      <c r="H43" s="19"/>
      <c r="I43" s="19"/>
      <c r="J43" s="19"/>
      <c r="K43" s="19"/>
      <c r="L43" s="19"/>
      <c r="M43" s="19"/>
      <c r="N43" s="19"/>
      <c r="O43" s="19"/>
      <c r="P43" s="32"/>
      <c r="Q43" s="33"/>
      <c r="R43" s="28" t="b">
        <f t="shared" si="0"/>
        <v>0</v>
      </c>
      <c r="S43" s="28" t="b">
        <f t="shared" si="1"/>
        <v>0</v>
      </c>
    </row>
    <row r="44" spans="1:19" x14ac:dyDescent="0.2">
      <c r="A44" s="19"/>
      <c r="B44" s="19"/>
      <c r="C44" s="19"/>
      <c r="D44" s="19"/>
      <c r="E44" s="19"/>
      <c r="F44" s="19"/>
      <c r="G44" s="19"/>
      <c r="H44" s="19"/>
      <c r="I44" s="19"/>
      <c r="J44" s="19"/>
      <c r="K44" s="19"/>
      <c r="L44" s="19"/>
      <c r="M44" s="19"/>
      <c r="N44" s="19"/>
      <c r="O44" s="19"/>
      <c r="P44" s="32"/>
      <c r="Q44" s="33"/>
      <c r="R44" s="28" t="b">
        <f t="shared" si="0"/>
        <v>0</v>
      </c>
      <c r="S44" s="28" t="b">
        <f t="shared" si="1"/>
        <v>0</v>
      </c>
    </row>
    <row r="45" spans="1:19" x14ac:dyDescent="0.2">
      <c r="A45" s="19"/>
      <c r="B45" s="19"/>
      <c r="C45" s="19"/>
      <c r="D45" s="19"/>
      <c r="E45" s="19"/>
      <c r="F45" s="19"/>
      <c r="G45" s="19"/>
      <c r="H45" s="19"/>
      <c r="I45" s="19"/>
      <c r="J45" s="19"/>
      <c r="K45" s="19"/>
      <c r="L45" s="19"/>
      <c r="M45" s="19"/>
      <c r="N45" s="19"/>
      <c r="O45" s="19"/>
      <c r="P45" s="32"/>
      <c r="Q45" s="33"/>
      <c r="R45" s="28" t="b">
        <f t="shared" si="0"/>
        <v>0</v>
      </c>
      <c r="S45" s="28" t="b">
        <f t="shared" si="1"/>
        <v>0</v>
      </c>
    </row>
    <row r="46" spans="1:19" x14ac:dyDescent="0.2">
      <c r="A46" s="19"/>
      <c r="B46" s="37"/>
      <c r="C46" s="19"/>
      <c r="D46" s="19"/>
      <c r="E46" s="19"/>
      <c r="F46" s="19"/>
      <c r="G46" s="19"/>
      <c r="H46" s="19"/>
      <c r="I46" s="19"/>
      <c r="J46" s="19"/>
      <c r="K46" s="19"/>
      <c r="L46" s="19"/>
      <c r="M46" s="19"/>
      <c r="N46" s="19"/>
      <c r="O46" s="19"/>
      <c r="P46" s="32"/>
      <c r="Q46" s="33"/>
      <c r="R46" s="28" t="b">
        <f t="shared" si="0"/>
        <v>0</v>
      </c>
      <c r="S46" s="28" t="b">
        <f t="shared" si="1"/>
        <v>0</v>
      </c>
    </row>
    <row r="47" spans="1:19" x14ac:dyDescent="0.2">
      <c r="A47" s="19"/>
      <c r="B47" s="19"/>
      <c r="C47" s="19"/>
      <c r="D47" s="19"/>
      <c r="E47" s="19"/>
      <c r="F47" s="19"/>
      <c r="G47" s="19"/>
      <c r="H47" s="19"/>
      <c r="I47" s="19"/>
      <c r="J47" s="19"/>
      <c r="K47" s="19"/>
      <c r="L47" s="19"/>
      <c r="M47" s="19"/>
      <c r="N47" s="19"/>
      <c r="O47" s="19"/>
      <c r="P47" s="32"/>
      <c r="Q47" s="33"/>
      <c r="R47" s="28" t="b">
        <f t="shared" si="0"/>
        <v>0</v>
      </c>
      <c r="S47" s="28" t="b">
        <f t="shared" si="1"/>
        <v>0</v>
      </c>
    </row>
    <row r="48" spans="1:19" x14ac:dyDescent="0.2">
      <c r="A48" s="19"/>
      <c r="B48" s="19"/>
      <c r="C48" s="19"/>
      <c r="D48" s="19"/>
      <c r="E48" s="19"/>
      <c r="F48" s="19"/>
      <c r="G48" s="19"/>
      <c r="H48" s="19"/>
      <c r="I48" s="19"/>
      <c r="J48" s="19"/>
      <c r="K48" s="19"/>
      <c r="L48" s="19"/>
      <c r="M48" s="19"/>
      <c r="N48" s="19"/>
      <c r="O48" s="19"/>
      <c r="P48" s="32"/>
      <c r="Q48" s="33"/>
      <c r="R48" s="28" t="b">
        <f t="shared" si="0"/>
        <v>0</v>
      </c>
      <c r="S48" s="28" t="b">
        <f t="shared" si="1"/>
        <v>0</v>
      </c>
    </row>
    <row r="49" spans="1:19" x14ac:dyDescent="0.2">
      <c r="A49" s="19"/>
      <c r="B49" s="19"/>
      <c r="C49" s="19"/>
      <c r="D49" s="19"/>
      <c r="E49" s="19"/>
      <c r="F49" s="19"/>
      <c r="G49" s="19"/>
      <c r="H49" s="19"/>
      <c r="I49" s="19"/>
      <c r="J49" s="19"/>
      <c r="K49" s="19"/>
      <c r="L49" s="19"/>
      <c r="M49" s="19"/>
      <c r="N49" s="19"/>
      <c r="O49" s="19"/>
      <c r="P49" s="32"/>
      <c r="Q49" s="33"/>
      <c r="R49" s="28" t="b">
        <f t="shared" si="0"/>
        <v>0</v>
      </c>
      <c r="S49" s="28" t="b">
        <f t="shared" si="1"/>
        <v>0</v>
      </c>
    </row>
    <row r="50" spans="1:19" x14ac:dyDescent="0.2">
      <c r="A50" s="19"/>
      <c r="B50" s="19"/>
      <c r="C50" s="19"/>
      <c r="D50" s="19"/>
      <c r="E50" s="19"/>
      <c r="F50" s="19"/>
      <c r="G50" s="19"/>
      <c r="H50" s="19"/>
      <c r="I50" s="19"/>
      <c r="J50" s="19"/>
      <c r="K50" s="19"/>
      <c r="L50" s="19"/>
      <c r="M50" s="19"/>
      <c r="N50" s="19"/>
      <c r="O50" s="19"/>
      <c r="P50" s="32"/>
      <c r="Q50" s="33"/>
      <c r="R50" s="28" t="b">
        <f t="shared" si="0"/>
        <v>0</v>
      </c>
      <c r="S50" s="28" t="b">
        <f t="shared" si="1"/>
        <v>0</v>
      </c>
    </row>
    <row r="51" spans="1:19" x14ac:dyDescent="0.2">
      <c r="A51" s="19"/>
      <c r="B51" s="19"/>
      <c r="C51" s="19"/>
      <c r="D51" s="19"/>
      <c r="E51" s="19"/>
      <c r="F51" s="19"/>
      <c r="G51" s="19"/>
      <c r="H51" s="19"/>
      <c r="I51" s="19"/>
      <c r="J51" s="19"/>
      <c r="K51" s="19"/>
      <c r="L51" s="19"/>
      <c r="M51" s="19"/>
      <c r="N51" s="19"/>
      <c r="O51" s="19"/>
      <c r="P51" s="32"/>
      <c r="Q51" s="33"/>
      <c r="R51" s="28" t="b">
        <f t="shared" si="0"/>
        <v>0</v>
      </c>
      <c r="S51" s="28" t="b">
        <f t="shared" si="1"/>
        <v>0</v>
      </c>
    </row>
    <row r="52" spans="1:19" x14ac:dyDescent="0.2">
      <c r="A52" s="19"/>
      <c r="B52" s="19"/>
      <c r="C52" s="19"/>
      <c r="D52" s="19"/>
      <c r="E52" s="19"/>
      <c r="F52" s="19"/>
      <c r="G52" s="19"/>
      <c r="H52" s="19"/>
      <c r="I52" s="19"/>
      <c r="J52" s="19"/>
      <c r="K52" s="19"/>
      <c r="L52" s="19"/>
      <c r="M52" s="19"/>
      <c r="N52" s="19"/>
      <c r="O52" s="19"/>
      <c r="P52" s="32"/>
      <c r="Q52" s="33"/>
      <c r="R52" s="28" t="b">
        <f t="shared" si="0"/>
        <v>0</v>
      </c>
      <c r="S52" s="28" t="b">
        <f t="shared" si="1"/>
        <v>0</v>
      </c>
    </row>
    <row r="53" spans="1:19" x14ac:dyDescent="0.2">
      <c r="A53" s="19"/>
      <c r="B53" s="19"/>
      <c r="C53" s="19"/>
      <c r="D53" s="19"/>
      <c r="E53" s="19"/>
      <c r="F53" s="19"/>
      <c r="G53" s="19"/>
      <c r="H53" s="19"/>
      <c r="I53" s="19"/>
      <c r="J53" s="19"/>
      <c r="K53" s="19"/>
      <c r="L53" s="19"/>
      <c r="M53" s="19"/>
      <c r="N53" s="19"/>
      <c r="O53" s="19"/>
      <c r="P53" s="32"/>
      <c r="Q53" s="33"/>
      <c r="R53" s="28" t="b">
        <f t="shared" si="0"/>
        <v>0</v>
      </c>
      <c r="S53" s="28" t="b">
        <f t="shared" si="1"/>
        <v>0</v>
      </c>
    </row>
    <row r="54" spans="1:19" x14ac:dyDescent="0.2">
      <c r="A54" s="19"/>
      <c r="B54" s="19"/>
      <c r="C54" s="19"/>
      <c r="D54" s="19"/>
      <c r="E54" s="19"/>
      <c r="F54" s="19"/>
      <c r="G54" s="19"/>
      <c r="H54" s="19"/>
      <c r="I54" s="19"/>
      <c r="J54" s="19"/>
      <c r="K54" s="19"/>
      <c r="L54" s="19"/>
      <c r="M54" s="19"/>
      <c r="N54" s="19"/>
      <c r="O54" s="19"/>
      <c r="P54" s="32"/>
      <c r="Q54" s="33"/>
      <c r="R54" s="28" t="b">
        <f t="shared" si="0"/>
        <v>0</v>
      </c>
      <c r="S54" s="28" t="b">
        <f t="shared" si="1"/>
        <v>0</v>
      </c>
    </row>
    <row r="55" spans="1:19" x14ac:dyDescent="0.2">
      <c r="A55" s="19"/>
      <c r="B55" s="19"/>
      <c r="C55" s="19"/>
      <c r="D55" s="19"/>
      <c r="E55" s="19"/>
      <c r="F55" s="19"/>
      <c r="G55" s="19"/>
      <c r="H55" s="19"/>
      <c r="I55" s="19"/>
      <c r="J55" s="19"/>
      <c r="K55" s="19"/>
      <c r="L55" s="19"/>
      <c r="M55" s="19"/>
      <c r="N55" s="19"/>
      <c r="O55" s="19"/>
      <c r="P55" s="32"/>
      <c r="Q55" s="33"/>
      <c r="R55" s="28" t="b">
        <f t="shared" si="0"/>
        <v>0</v>
      </c>
      <c r="S55" s="28" t="b">
        <f t="shared" si="1"/>
        <v>0</v>
      </c>
    </row>
    <row r="56" spans="1:19" x14ac:dyDescent="0.2">
      <c r="A56" s="19"/>
      <c r="B56" s="19"/>
      <c r="C56" s="19"/>
      <c r="D56" s="19"/>
      <c r="E56" s="19"/>
      <c r="F56" s="19"/>
      <c r="G56" s="19"/>
      <c r="H56" s="19"/>
      <c r="I56" s="19"/>
      <c r="J56" s="19"/>
      <c r="K56" s="19"/>
      <c r="L56" s="19"/>
      <c r="M56" s="19"/>
      <c r="N56" s="19"/>
      <c r="O56" s="19"/>
      <c r="P56" s="32"/>
      <c r="Q56" s="33"/>
      <c r="R56" s="28" t="b">
        <f t="shared" si="0"/>
        <v>0</v>
      </c>
      <c r="S56" s="28" t="b">
        <f t="shared" si="1"/>
        <v>0</v>
      </c>
    </row>
    <row r="57" spans="1:19" x14ac:dyDescent="0.2">
      <c r="A57" s="19"/>
      <c r="B57" s="19"/>
      <c r="C57" s="19"/>
      <c r="D57" s="19"/>
      <c r="E57" s="19"/>
      <c r="F57" s="19"/>
      <c r="G57" s="19"/>
      <c r="H57" s="19"/>
      <c r="I57" s="19"/>
      <c r="J57" s="19"/>
      <c r="K57" s="19"/>
      <c r="L57" s="19"/>
      <c r="M57" s="19"/>
      <c r="N57" s="19"/>
      <c r="O57" s="19"/>
      <c r="P57" s="32"/>
      <c r="Q57" s="33"/>
      <c r="R57" s="28" t="b">
        <f t="shared" si="0"/>
        <v>0</v>
      </c>
      <c r="S57" s="28" t="b">
        <f t="shared" si="1"/>
        <v>0</v>
      </c>
    </row>
    <row r="58" spans="1:19" x14ac:dyDescent="0.2">
      <c r="A58" s="19"/>
      <c r="B58" s="19"/>
      <c r="C58" s="19"/>
      <c r="D58" s="19"/>
      <c r="E58" s="19"/>
      <c r="F58" s="19"/>
      <c r="G58" s="19"/>
      <c r="H58" s="19"/>
      <c r="I58" s="19"/>
      <c r="J58" s="19"/>
      <c r="K58" s="19"/>
      <c r="L58" s="19"/>
      <c r="M58" s="19"/>
      <c r="N58" s="19"/>
      <c r="O58" s="19"/>
      <c r="P58" s="32"/>
      <c r="Q58" s="33"/>
      <c r="R58" s="28" t="b">
        <f t="shared" si="0"/>
        <v>0</v>
      </c>
      <c r="S58" s="28" t="b">
        <f t="shared" si="1"/>
        <v>0</v>
      </c>
    </row>
    <row r="59" spans="1:19" x14ac:dyDescent="0.2">
      <c r="A59" s="19"/>
      <c r="B59" s="19"/>
      <c r="C59" s="19"/>
      <c r="D59" s="19"/>
      <c r="E59" s="19"/>
      <c r="F59" s="19"/>
      <c r="G59" s="19"/>
      <c r="H59" s="19"/>
      <c r="I59" s="19"/>
      <c r="J59" s="19"/>
      <c r="K59" s="19"/>
      <c r="L59" s="19"/>
      <c r="M59" s="19"/>
      <c r="N59" s="19"/>
      <c r="O59" s="19"/>
      <c r="P59" s="32"/>
      <c r="Q59" s="33"/>
      <c r="R59" s="28" t="b">
        <f t="shared" si="0"/>
        <v>0</v>
      </c>
      <c r="S59" s="28" t="b">
        <f t="shared" si="1"/>
        <v>0</v>
      </c>
    </row>
    <row r="60" spans="1:19" x14ac:dyDescent="0.2">
      <c r="A60" s="19"/>
      <c r="B60" s="19"/>
      <c r="C60" s="19"/>
      <c r="D60" s="19"/>
      <c r="E60" s="19"/>
      <c r="F60" s="19"/>
      <c r="G60" s="19"/>
      <c r="H60" s="19"/>
      <c r="I60" s="19"/>
      <c r="J60" s="19"/>
      <c r="K60" s="19"/>
      <c r="L60" s="19"/>
      <c r="M60" s="19"/>
      <c r="N60" s="19"/>
      <c r="O60" s="19"/>
      <c r="P60" s="32"/>
      <c r="Q60" s="33"/>
      <c r="R60" s="28" t="b">
        <f t="shared" si="0"/>
        <v>0</v>
      </c>
      <c r="S60" s="28" t="b">
        <f t="shared" si="1"/>
        <v>0</v>
      </c>
    </row>
    <row r="61" spans="1:19" x14ac:dyDescent="0.2">
      <c r="A61" s="19"/>
      <c r="B61" s="19"/>
      <c r="C61" s="19"/>
      <c r="D61" s="19"/>
      <c r="E61" s="19"/>
      <c r="F61" s="19"/>
      <c r="G61" s="19"/>
      <c r="H61" s="19"/>
      <c r="I61" s="19"/>
      <c r="J61" s="19"/>
      <c r="K61" s="19"/>
      <c r="L61" s="19"/>
      <c r="M61" s="19"/>
      <c r="N61" s="19"/>
      <c r="O61" s="19"/>
      <c r="P61" s="32"/>
      <c r="Q61" s="33"/>
      <c r="R61" s="28" t="b">
        <f t="shared" si="0"/>
        <v>0</v>
      </c>
      <c r="S61" s="28" t="b">
        <f t="shared" si="1"/>
        <v>0</v>
      </c>
    </row>
    <row r="62" spans="1:19" x14ac:dyDescent="0.2">
      <c r="A62" s="19"/>
      <c r="B62" s="19"/>
      <c r="C62" s="19"/>
      <c r="D62" s="19"/>
      <c r="E62" s="19"/>
      <c r="F62" s="19"/>
      <c r="G62" s="19"/>
      <c r="H62" s="19"/>
      <c r="I62" s="19"/>
      <c r="J62" s="19"/>
      <c r="K62" s="19"/>
      <c r="L62" s="19"/>
      <c r="M62" s="19"/>
      <c r="N62" s="19"/>
      <c r="O62" s="19"/>
      <c r="P62" s="32"/>
      <c r="Q62" s="33"/>
      <c r="R62" s="28" t="b">
        <f t="shared" si="0"/>
        <v>0</v>
      </c>
      <c r="S62" s="28" t="b">
        <f t="shared" si="1"/>
        <v>0</v>
      </c>
    </row>
    <row r="63" spans="1:19" x14ac:dyDescent="0.2">
      <c r="A63" s="19"/>
      <c r="B63" s="19"/>
      <c r="C63" s="19"/>
      <c r="D63" s="19"/>
      <c r="E63" s="19"/>
      <c r="F63" s="19"/>
      <c r="G63" s="19"/>
      <c r="H63" s="19"/>
      <c r="I63" s="19"/>
      <c r="J63" s="19"/>
      <c r="K63" s="19"/>
      <c r="L63" s="19"/>
      <c r="M63" s="19"/>
      <c r="N63" s="19"/>
      <c r="O63" s="19"/>
      <c r="P63" s="32"/>
      <c r="Q63" s="33"/>
      <c r="R63" s="28" t="b">
        <f t="shared" si="0"/>
        <v>0</v>
      </c>
      <c r="S63" s="28" t="b">
        <f t="shared" si="1"/>
        <v>0</v>
      </c>
    </row>
    <row r="64" spans="1:19" x14ac:dyDescent="0.2">
      <c r="A64" s="19"/>
      <c r="B64" s="19"/>
      <c r="C64" s="19"/>
      <c r="D64" s="19"/>
      <c r="E64" s="19"/>
      <c r="F64" s="19"/>
      <c r="G64" s="19"/>
      <c r="H64" s="19"/>
      <c r="I64" s="19"/>
      <c r="J64" s="19"/>
      <c r="K64" s="19"/>
      <c r="L64" s="19"/>
      <c r="M64" s="19"/>
      <c r="N64" s="19"/>
      <c r="O64" s="19"/>
      <c r="P64" s="32"/>
      <c r="Q64" s="33"/>
      <c r="R64" s="28" t="b">
        <f t="shared" si="0"/>
        <v>0</v>
      </c>
      <c r="S64" s="28" t="b">
        <f t="shared" si="1"/>
        <v>0</v>
      </c>
    </row>
    <row r="65" spans="1:19" x14ac:dyDescent="0.2">
      <c r="A65" s="19"/>
      <c r="B65" s="19"/>
      <c r="C65" s="19"/>
      <c r="D65" s="19"/>
      <c r="E65" s="39"/>
      <c r="F65" s="39"/>
      <c r="G65" s="39"/>
      <c r="H65" s="39"/>
      <c r="I65" s="39"/>
      <c r="J65" s="39"/>
      <c r="K65" s="39"/>
      <c r="L65" s="40"/>
      <c r="M65" s="19"/>
      <c r="N65" s="19"/>
      <c r="O65" s="19"/>
      <c r="P65" s="32"/>
      <c r="Q65" s="33"/>
      <c r="R65" s="28" t="b">
        <f t="shared" si="0"/>
        <v>0</v>
      </c>
      <c r="S65" s="28" t="b">
        <f t="shared" si="1"/>
        <v>0</v>
      </c>
    </row>
    <row r="66" spans="1:19" x14ac:dyDescent="0.2">
      <c r="A66" s="19"/>
      <c r="B66" s="19"/>
      <c r="C66" s="19"/>
      <c r="D66" s="19"/>
      <c r="E66" s="39"/>
      <c r="F66" s="39"/>
      <c r="G66" s="39"/>
      <c r="H66" s="39"/>
      <c r="I66" s="39"/>
      <c r="J66" s="39"/>
      <c r="K66" s="39"/>
      <c r="L66" s="40"/>
      <c r="M66" s="19"/>
      <c r="N66" s="19"/>
      <c r="O66" s="19"/>
      <c r="P66" s="32"/>
      <c r="Q66" s="33"/>
      <c r="R66" s="28" t="b">
        <f t="shared" si="0"/>
        <v>0</v>
      </c>
      <c r="S66" s="28" t="b">
        <f t="shared" si="1"/>
        <v>0</v>
      </c>
    </row>
    <row r="67" spans="1:19" x14ac:dyDescent="0.2">
      <c r="A67" s="19"/>
      <c r="B67" s="19"/>
      <c r="C67" s="19"/>
      <c r="D67" s="19"/>
      <c r="E67" s="39"/>
      <c r="F67" s="39"/>
      <c r="G67" s="39"/>
      <c r="H67" s="39"/>
      <c r="I67" s="39"/>
      <c r="J67" s="39"/>
      <c r="K67" s="39"/>
      <c r="L67" s="40"/>
      <c r="M67" s="19"/>
      <c r="N67" s="19"/>
      <c r="O67" s="19"/>
      <c r="P67" s="32"/>
      <c r="Q67" s="33"/>
      <c r="R67" s="28" t="b">
        <f t="shared" si="0"/>
        <v>0</v>
      </c>
      <c r="S67" s="28" t="b">
        <f t="shared" si="1"/>
        <v>0</v>
      </c>
    </row>
    <row r="68" spans="1:19" x14ac:dyDescent="0.2">
      <c r="A68" s="19"/>
      <c r="B68" s="19"/>
      <c r="C68" s="19"/>
      <c r="D68" s="19"/>
      <c r="E68" s="39"/>
      <c r="F68" s="39"/>
      <c r="G68" s="39"/>
      <c r="H68" s="39"/>
      <c r="I68" s="39"/>
      <c r="J68" s="39"/>
      <c r="K68" s="39"/>
      <c r="L68" s="40"/>
      <c r="M68" s="19"/>
      <c r="N68" s="19"/>
      <c r="O68" s="19"/>
      <c r="P68" s="32"/>
      <c r="Q68" s="33"/>
      <c r="R68" s="28" t="b">
        <f t="shared" ref="R68:R131" si="2">IF($P68&gt;0,$B$17+$B$18*$P68)</f>
        <v>0</v>
      </c>
      <c r="S68" s="28" t="b">
        <f t="shared" ref="S68:S131" si="3">IF($P68&gt;0,$Q68-$R68)</f>
        <v>0</v>
      </c>
    </row>
    <row r="69" spans="1:19" x14ac:dyDescent="0.2">
      <c r="A69" s="19"/>
      <c r="B69" s="19"/>
      <c r="C69" s="19"/>
      <c r="D69" s="19"/>
      <c r="E69" s="39"/>
      <c r="F69" s="39"/>
      <c r="G69" s="39"/>
      <c r="H69" s="39"/>
      <c r="I69" s="39"/>
      <c r="J69" s="39"/>
      <c r="K69" s="39"/>
      <c r="L69" s="40"/>
      <c r="M69" s="19"/>
      <c r="N69" s="19"/>
      <c r="O69" s="19"/>
      <c r="P69" s="32"/>
      <c r="Q69" s="33"/>
      <c r="R69" s="28" t="b">
        <f t="shared" si="2"/>
        <v>0</v>
      </c>
      <c r="S69" s="28" t="b">
        <f t="shared" si="3"/>
        <v>0</v>
      </c>
    </row>
    <row r="70" spans="1:19" x14ac:dyDescent="0.2">
      <c r="A70" s="19"/>
      <c r="B70" s="19"/>
      <c r="C70" s="19"/>
      <c r="D70" s="19"/>
      <c r="E70" s="39"/>
      <c r="F70" s="39"/>
      <c r="G70" s="39"/>
      <c r="H70" s="39"/>
      <c r="I70" s="39"/>
      <c r="J70" s="39"/>
      <c r="K70" s="39"/>
      <c r="L70" s="40"/>
      <c r="M70" s="19"/>
      <c r="N70" s="19"/>
      <c r="O70" s="19"/>
      <c r="P70" s="32"/>
      <c r="Q70" s="33"/>
      <c r="R70" s="28" t="b">
        <f t="shared" si="2"/>
        <v>0</v>
      </c>
      <c r="S70" s="28" t="b">
        <f t="shared" si="3"/>
        <v>0</v>
      </c>
    </row>
    <row r="71" spans="1:19" x14ac:dyDescent="0.2">
      <c r="A71" s="19"/>
      <c r="B71" s="19"/>
      <c r="C71" s="19"/>
      <c r="D71" s="19"/>
      <c r="E71" s="39"/>
      <c r="F71" s="39"/>
      <c r="G71" s="39"/>
      <c r="H71" s="39"/>
      <c r="I71" s="39"/>
      <c r="J71" s="39"/>
      <c r="K71" s="39"/>
      <c r="L71" s="40"/>
      <c r="M71" s="19"/>
      <c r="N71" s="19"/>
      <c r="O71" s="19"/>
      <c r="P71" s="32"/>
      <c r="Q71" s="33"/>
      <c r="R71" s="28" t="b">
        <f t="shared" si="2"/>
        <v>0</v>
      </c>
      <c r="S71" s="28" t="b">
        <f t="shared" si="3"/>
        <v>0</v>
      </c>
    </row>
    <row r="72" spans="1:19" x14ac:dyDescent="0.2">
      <c r="A72" s="19"/>
      <c r="B72" s="19"/>
      <c r="C72" s="19"/>
      <c r="D72" s="19"/>
      <c r="E72" s="39"/>
      <c r="F72" s="39"/>
      <c r="G72" s="39"/>
      <c r="H72" s="39"/>
      <c r="I72" s="39"/>
      <c r="J72" s="39"/>
      <c r="K72" s="39"/>
      <c r="L72" s="40"/>
      <c r="M72" s="19"/>
      <c r="N72" s="19"/>
      <c r="O72" s="19"/>
      <c r="P72" s="32"/>
      <c r="Q72" s="33"/>
      <c r="R72" s="28" t="b">
        <f t="shared" si="2"/>
        <v>0</v>
      </c>
      <c r="S72" s="28" t="b">
        <f t="shared" si="3"/>
        <v>0</v>
      </c>
    </row>
    <row r="73" spans="1:19" x14ac:dyDescent="0.2">
      <c r="A73" s="19"/>
      <c r="B73" s="19"/>
      <c r="C73" s="19"/>
      <c r="D73" s="19"/>
      <c r="E73" s="39"/>
      <c r="F73" s="39"/>
      <c r="G73" s="39"/>
      <c r="H73" s="39"/>
      <c r="I73" s="39"/>
      <c r="J73" s="39"/>
      <c r="K73" s="39"/>
      <c r="L73" s="40"/>
      <c r="M73" s="19"/>
      <c r="N73" s="19"/>
      <c r="O73" s="19"/>
      <c r="P73" s="32"/>
      <c r="Q73" s="33"/>
      <c r="R73" s="28" t="b">
        <f t="shared" si="2"/>
        <v>0</v>
      </c>
      <c r="S73" s="28" t="b">
        <f t="shared" si="3"/>
        <v>0</v>
      </c>
    </row>
    <row r="74" spans="1:19" x14ac:dyDescent="0.2">
      <c r="A74" s="19"/>
      <c r="B74" s="19"/>
      <c r="C74" s="19"/>
      <c r="D74" s="19"/>
      <c r="E74" s="39"/>
      <c r="F74" s="39"/>
      <c r="G74" s="39"/>
      <c r="H74" s="39"/>
      <c r="I74" s="39"/>
      <c r="J74" s="39"/>
      <c r="K74" s="39"/>
      <c r="L74" s="40"/>
      <c r="M74" s="19"/>
      <c r="N74" s="19"/>
      <c r="O74" s="19"/>
      <c r="P74" s="32"/>
      <c r="Q74" s="33"/>
      <c r="R74" s="28" t="b">
        <f t="shared" si="2"/>
        <v>0</v>
      </c>
      <c r="S74" s="28" t="b">
        <f t="shared" si="3"/>
        <v>0</v>
      </c>
    </row>
    <row r="75" spans="1:19" x14ac:dyDescent="0.2">
      <c r="A75" s="19"/>
      <c r="B75" s="19"/>
      <c r="C75" s="19"/>
      <c r="D75" s="19"/>
      <c r="E75" s="39"/>
      <c r="F75" s="39"/>
      <c r="G75" s="39"/>
      <c r="H75" s="39"/>
      <c r="I75" s="39"/>
      <c r="J75" s="39"/>
      <c r="K75" s="39"/>
      <c r="L75" s="40"/>
      <c r="M75" s="19"/>
      <c r="N75" s="19"/>
      <c r="O75" s="19"/>
      <c r="P75" s="32"/>
      <c r="Q75" s="33"/>
      <c r="R75" s="28" t="b">
        <f t="shared" si="2"/>
        <v>0</v>
      </c>
      <c r="S75" s="28" t="b">
        <f t="shared" si="3"/>
        <v>0</v>
      </c>
    </row>
    <row r="76" spans="1:19" x14ac:dyDescent="0.2">
      <c r="A76" s="19"/>
      <c r="B76" s="19"/>
      <c r="C76" s="19"/>
      <c r="D76" s="19"/>
      <c r="E76" s="39"/>
      <c r="F76" s="39"/>
      <c r="G76" s="39"/>
      <c r="H76" s="39"/>
      <c r="I76" s="39"/>
      <c r="J76" s="39"/>
      <c r="K76" s="39"/>
      <c r="L76" s="40"/>
      <c r="M76" s="19"/>
      <c r="N76" s="19"/>
      <c r="O76" s="19"/>
      <c r="P76" s="32"/>
      <c r="Q76" s="33"/>
      <c r="R76" s="28" t="b">
        <f t="shared" si="2"/>
        <v>0</v>
      </c>
      <c r="S76" s="28" t="b">
        <f t="shared" si="3"/>
        <v>0</v>
      </c>
    </row>
    <row r="77" spans="1:19" x14ac:dyDescent="0.2">
      <c r="A77" s="19"/>
      <c r="B77" s="19"/>
      <c r="C77" s="19"/>
      <c r="D77" s="19"/>
      <c r="E77" s="45"/>
      <c r="F77" s="39"/>
      <c r="G77" s="39"/>
      <c r="H77" s="39"/>
      <c r="I77" s="19"/>
      <c r="J77" s="19"/>
      <c r="K77" s="41"/>
      <c r="L77" s="40"/>
      <c r="M77" s="19"/>
      <c r="N77" s="19"/>
      <c r="O77" s="19"/>
      <c r="P77" s="32"/>
      <c r="Q77" s="33"/>
      <c r="R77" s="28" t="b">
        <f t="shared" si="2"/>
        <v>0</v>
      </c>
      <c r="S77" s="28" t="b">
        <f t="shared" si="3"/>
        <v>0</v>
      </c>
    </row>
    <row r="78" spans="1:19" x14ac:dyDescent="0.2">
      <c r="A78" s="19"/>
      <c r="B78" s="19"/>
      <c r="C78" s="19"/>
      <c r="D78" s="19"/>
      <c r="E78" s="45"/>
      <c r="F78" s="39"/>
      <c r="G78" s="39"/>
      <c r="H78" s="39"/>
      <c r="I78" s="42"/>
      <c r="J78" s="43"/>
      <c r="K78" s="41"/>
      <c r="L78" s="40"/>
      <c r="M78" s="19"/>
      <c r="N78" s="19"/>
      <c r="O78" s="19"/>
      <c r="P78" s="32"/>
      <c r="Q78" s="33"/>
      <c r="R78" s="28" t="b">
        <f t="shared" si="2"/>
        <v>0</v>
      </c>
      <c r="S78" s="28" t="b">
        <f t="shared" si="3"/>
        <v>0</v>
      </c>
    </row>
    <row r="79" spans="1:19" x14ac:dyDescent="0.2">
      <c r="A79" s="19"/>
      <c r="B79" s="19"/>
      <c r="C79" s="19"/>
      <c r="D79" s="19"/>
      <c r="E79" s="45"/>
      <c r="F79" s="39"/>
      <c r="G79" s="39"/>
      <c r="H79" s="39"/>
      <c r="I79" s="42"/>
      <c r="J79" s="43"/>
      <c r="K79" s="41"/>
      <c r="L79" s="40"/>
      <c r="M79" s="19"/>
      <c r="N79" s="19"/>
      <c r="O79" s="19"/>
      <c r="P79" s="32"/>
      <c r="Q79" s="33"/>
      <c r="R79" s="28" t="b">
        <f t="shared" si="2"/>
        <v>0</v>
      </c>
      <c r="S79" s="28" t="b">
        <f t="shared" si="3"/>
        <v>0</v>
      </c>
    </row>
    <row r="80" spans="1:19" x14ac:dyDescent="0.2">
      <c r="A80" s="19"/>
      <c r="B80" s="19"/>
      <c r="C80" s="19"/>
      <c r="D80" s="19"/>
      <c r="E80" s="45"/>
      <c r="F80" s="39"/>
      <c r="G80" s="39"/>
      <c r="H80" s="39"/>
      <c r="I80" s="42"/>
      <c r="J80" s="43"/>
      <c r="K80" s="41"/>
      <c r="L80" s="40"/>
      <c r="M80" s="19"/>
      <c r="N80" s="19"/>
      <c r="O80" s="19"/>
      <c r="P80" s="32"/>
      <c r="Q80" s="33"/>
      <c r="R80" s="28" t="b">
        <f t="shared" si="2"/>
        <v>0</v>
      </c>
      <c r="S80" s="28" t="b">
        <f t="shared" si="3"/>
        <v>0</v>
      </c>
    </row>
    <row r="81" spans="1:19" x14ac:dyDescent="0.2">
      <c r="A81" s="19"/>
      <c r="B81" s="19"/>
      <c r="C81" s="19"/>
      <c r="D81" s="19"/>
      <c r="E81" s="46"/>
      <c r="F81" s="39"/>
      <c r="G81" s="39"/>
      <c r="H81" s="39"/>
      <c r="I81" s="43"/>
      <c r="J81" s="43"/>
      <c r="K81" s="26"/>
      <c r="L81" s="26"/>
      <c r="M81" s="19"/>
      <c r="N81" s="19"/>
      <c r="O81" s="19"/>
      <c r="P81" s="32"/>
      <c r="Q81" s="33"/>
      <c r="R81" s="28" t="b">
        <f t="shared" si="2"/>
        <v>0</v>
      </c>
      <c r="S81" s="28" t="b">
        <f t="shared" si="3"/>
        <v>0</v>
      </c>
    </row>
    <row r="82" spans="1:19" x14ac:dyDescent="0.2">
      <c r="A82" s="19"/>
      <c r="B82" s="19"/>
      <c r="C82" s="19"/>
      <c r="D82" s="19"/>
      <c r="E82" s="26"/>
      <c r="F82" s="39"/>
      <c r="G82" s="39"/>
      <c r="H82" s="39"/>
      <c r="I82" s="26"/>
      <c r="J82" s="26"/>
      <c r="K82" s="26"/>
      <c r="L82" s="26"/>
      <c r="M82" s="19"/>
      <c r="N82" s="19"/>
      <c r="O82" s="19"/>
      <c r="P82" s="32"/>
      <c r="Q82" s="33"/>
      <c r="R82" s="28" t="b">
        <f t="shared" si="2"/>
        <v>0</v>
      </c>
      <c r="S82" s="28" t="b">
        <f t="shared" si="3"/>
        <v>0</v>
      </c>
    </row>
    <row r="83" spans="1:19" x14ac:dyDescent="0.2">
      <c r="A83" s="19"/>
      <c r="B83" s="19"/>
      <c r="C83" s="19"/>
      <c r="D83" s="19"/>
      <c r="E83" s="26"/>
      <c r="F83" s="39"/>
      <c r="G83" s="39"/>
      <c r="H83" s="39"/>
      <c r="I83" s="26"/>
      <c r="J83" s="26"/>
      <c r="K83" s="26"/>
      <c r="L83" s="26"/>
      <c r="M83" s="19"/>
      <c r="N83" s="19"/>
      <c r="O83" s="19"/>
      <c r="P83" s="32"/>
      <c r="Q83" s="33"/>
      <c r="R83" s="28" t="b">
        <f t="shared" si="2"/>
        <v>0</v>
      </c>
      <c r="S83" s="28" t="b">
        <f t="shared" si="3"/>
        <v>0</v>
      </c>
    </row>
    <row r="84" spans="1:19" x14ac:dyDescent="0.2">
      <c r="A84" s="19"/>
      <c r="B84" s="19"/>
      <c r="C84" s="19"/>
      <c r="D84" s="19"/>
      <c r="E84" s="19"/>
      <c r="F84" s="39"/>
      <c r="G84" s="39"/>
      <c r="H84" s="39"/>
      <c r="I84" s="19"/>
      <c r="J84" s="19"/>
      <c r="K84" s="19"/>
      <c r="L84" s="19"/>
      <c r="M84" s="19"/>
      <c r="N84" s="19"/>
      <c r="O84" s="19"/>
      <c r="P84" s="32"/>
      <c r="Q84" s="33"/>
      <c r="R84" s="28" t="b">
        <f t="shared" si="2"/>
        <v>0</v>
      </c>
      <c r="S84" s="28" t="b">
        <f t="shared" si="3"/>
        <v>0</v>
      </c>
    </row>
    <row r="85" spans="1:19" x14ac:dyDescent="0.2">
      <c r="A85" s="19"/>
      <c r="B85" s="19"/>
      <c r="C85" s="19"/>
      <c r="D85" s="19"/>
      <c r="E85" s="19"/>
      <c r="F85" s="39"/>
      <c r="G85" s="39"/>
      <c r="H85" s="39"/>
      <c r="I85" s="19"/>
      <c r="J85" s="19"/>
      <c r="K85" s="19"/>
      <c r="L85" s="19"/>
      <c r="M85" s="19"/>
      <c r="N85" s="19"/>
      <c r="O85" s="19"/>
      <c r="P85" s="32"/>
      <c r="Q85" s="33"/>
      <c r="R85" s="28" t="b">
        <f t="shared" si="2"/>
        <v>0</v>
      </c>
      <c r="S85" s="28" t="b">
        <f t="shared" si="3"/>
        <v>0</v>
      </c>
    </row>
    <row r="86" spans="1:19" x14ac:dyDescent="0.2">
      <c r="A86" s="19"/>
      <c r="B86" s="19"/>
      <c r="C86" s="19"/>
      <c r="D86" s="19"/>
      <c r="E86" s="19"/>
      <c r="F86" s="39"/>
      <c r="G86" s="39"/>
      <c r="H86" s="39"/>
      <c r="I86" s="19"/>
      <c r="J86" s="19"/>
      <c r="K86" s="19"/>
      <c r="L86" s="19"/>
      <c r="M86" s="19"/>
      <c r="N86" s="19"/>
      <c r="O86" s="19"/>
      <c r="P86" s="32"/>
      <c r="Q86" s="33"/>
      <c r="R86" s="28" t="b">
        <f t="shared" si="2"/>
        <v>0</v>
      </c>
      <c r="S86" s="28" t="b">
        <f t="shared" si="3"/>
        <v>0</v>
      </c>
    </row>
    <row r="87" spans="1:19" x14ac:dyDescent="0.2">
      <c r="A87" s="19"/>
      <c r="B87" s="19"/>
      <c r="C87" s="19"/>
      <c r="D87" s="19"/>
      <c r="E87" s="19"/>
      <c r="F87" s="39"/>
      <c r="G87" s="39"/>
      <c r="H87" s="39"/>
      <c r="I87" s="19"/>
      <c r="J87" s="19"/>
      <c r="K87" s="19"/>
      <c r="L87" s="19"/>
      <c r="M87" s="19"/>
      <c r="N87" s="19"/>
      <c r="O87" s="19"/>
      <c r="P87" s="32"/>
      <c r="Q87" s="33"/>
      <c r="R87" s="28" t="b">
        <f t="shared" si="2"/>
        <v>0</v>
      </c>
      <c r="S87" s="28" t="b">
        <f t="shared" si="3"/>
        <v>0</v>
      </c>
    </row>
    <row r="88" spans="1:19" x14ac:dyDescent="0.2">
      <c r="A88" s="19"/>
      <c r="B88" s="19"/>
      <c r="C88" s="19"/>
      <c r="D88" s="19"/>
      <c r="E88" s="19"/>
      <c r="F88" s="39"/>
      <c r="G88" s="39"/>
      <c r="H88" s="39"/>
      <c r="I88" s="19"/>
      <c r="J88" s="19"/>
      <c r="K88" s="19"/>
      <c r="L88" s="19"/>
      <c r="M88" s="19"/>
      <c r="N88" s="19"/>
      <c r="O88" s="19"/>
      <c r="P88" s="32"/>
      <c r="Q88" s="33"/>
      <c r="R88" s="28" t="b">
        <f t="shared" si="2"/>
        <v>0</v>
      </c>
      <c r="S88" s="28" t="b">
        <f t="shared" si="3"/>
        <v>0</v>
      </c>
    </row>
    <row r="89" spans="1:19" x14ac:dyDescent="0.2">
      <c r="A89" s="19"/>
      <c r="B89" s="19"/>
      <c r="C89" s="19"/>
      <c r="D89" s="19"/>
      <c r="E89" s="19"/>
      <c r="F89" s="39"/>
      <c r="G89" s="39"/>
      <c r="H89" s="39"/>
      <c r="I89" s="19"/>
      <c r="J89" s="19"/>
      <c r="K89" s="19"/>
      <c r="L89" s="19"/>
      <c r="M89" s="19"/>
      <c r="N89" s="19"/>
      <c r="O89" s="19"/>
      <c r="P89" s="32"/>
      <c r="Q89" s="33"/>
      <c r="R89" s="28" t="b">
        <f t="shared" si="2"/>
        <v>0</v>
      </c>
      <c r="S89" s="28" t="b">
        <f t="shared" si="3"/>
        <v>0</v>
      </c>
    </row>
    <row r="90" spans="1:19" x14ac:dyDescent="0.2">
      <c r="A90" s="19"/>
      <c r="B90" s="19"/>
      <c r="C90" s="19"/>
      <c r="D90" s="19"/>
      <c r="E90" s="19"/>
      <c r="F90" s="39"/>
      <c r="G90" s="39"/>
      <c r="H90" s="39"/>
      <c r="I90" s="19"/>
      <c r="J90" s="19"/>
      <c r="K90" s="19"/>
      <c r="L90" s="19"/>
      <c r="M90" s="19"/>
      <c r="N90" s="19"/>
      <c r="O90" s="19"/>
      <c r="P90" s="32"/>
      <c r="Q90" s="33"/>
      <c r="R90" s="28" t="b">
        <f t="shared" si="2"/>
        <v>0</v>
      </c>
      <c r="S90" s="28" t="b">
        <f t="shared" si="3"/>
        <v>0</v>
      </c>
    </row>
    <row r="91" spans="1:19" x14ac:dyDescent="0.2">
      <c r="A91" s="19"/>
      <c r="B91" s="19"/>
      <c r="C91" s="19"/>
      <c r="D91" s="19"/>
      <c r="E91" s="19"/>
      <c r="F91" s="39"/>
      <c r="G91" s="39"/>
      <c r="H91" s="39"/>
      <c r="I91" s="19"/>
      <c r="J91" s="19"/>
      <c r="K91" s="19"/>
      <c r="L91" s="19"/>
      <c r="M91" s="19"/>
      <c r="N91" s="19"/>
      <c r="O91" s="19"/>
      <c r="P91" s="32"/>
      <c r="Q91" s="33"/>
      <c r="R91" s="28" t="b">
        <f t="shared" si="2"/>
        <v>0</v>
      </c>
      <c r="S91" s="28" t="b">
        <f t="shared" si="3"/>
        <v>0</v>
      </c>
    </row>
    <row r="92" spans="1:19" x14ac:dyDescent="0.2">
      <c r="A92" s="19"/>
      <c r="B92" s="19"/>
      <c r="C92" s="19"/>
      <c r="D92" s="19"/>
      <c r="E92" s="19"/>
      <c r="F92" s="39"/>
      <c r="G92" s="39"/>
      <c r="H92" s="39"/>
      <c r="I92" s="19"/>
      <c r="J92" s="19"/>
      <c r="K92" s="19"/>
      <c r="L92" s="19"/>
      <c r="M92" s="19"/>
      <c r="N92" s="19"/>
      <c r="O92" s="19"/>
      <c r="P92" s="32"/>
      <c r="Q92" s="33"/>
      <c r="R92" s="28" t="b">
        <f t="shared" si="2"/>
        <v>0</v>
      </c>
      <c r="S92" s="28" t="b">
        <f t="shared" si="3"/>
        <v>0</v>
      </c>
    </row>
    <row r="93" spans="1:19" x14ac:dyDescent="0.2">
      <c r="A93" s="19"/>
      <c r="B93" s="19"/>
      <c r="C93" s="19"/>
      <c r="D93" s="19"/>
      <c r="E93" s="19"/>
      <c r="F93" s="39"/>
      <c r="G93" s="39"/>
      <c r="H93" s="39"/>
      <c r="I93" s="19"/>
      <c r="J93" s="19"/>
      <c r="K93" s="19"/>
      <c r="L93" s="19"/>
      <c r="M93" s="19"/>
      <c r="N93" s="19"/>
      <c r="O93" s="19"/>
      <c r="P93" s="32"/>
      <c r="Q93" s="33"/>
      <c r="R93" s="28" t="b">
        <f t="shared" si="2"/>
        <v>0</v>
      </c>
      <c r="S93" s="28" t="b">
        <f t="shared" si="3"/>
        <v>0</v>
      </c>
    </row>
    <row r="94" spans="1:19" x14ac:dyDescent="0.2">
      <c r="A94" s="19"/>
      <c r="B94" s="19"/>
      <c r="C94" s="19"/>
      <c r="D94" s="19"/>
      <c r="E94" s="19"/>
      <c r="F94" s="39"/>
      <c r="G94" s="39"/>
      <c r="H94" s="39"/>
      <c r="I94" s="44"/>
      <c r="J94" s="44"/>
      <c r="K94" s="19"/>
      <c r="L94" s="19"/>
      <c r="M94" s="19"/>
      <c r="N94" s="19"/>
      <c r="O94" s="19"/>
      <c r="P94" s="32"/>
      <c r="Q94" s="33"/>
      <c r="R94" s="28" t="b">
        <f t="shared" si="2"/>
        <v>0</v>
      </c>
      <c r="S94" s="28" t="b">
        <f t="shared" si="3"/>
        <v>0</v>
      </c>
    </row>
    <row r="95" spans="1:19" x14ac:dyDescent="0.2">
      <c r="A95" s="19"/>
      <c r="B95" s="19"/>
      <c r="C95" s="19"/>
      <c r="D95" s="19"/>
      <c r="E95" s="19"/>
      <c r="F95" s="39"/>
      <c r="G95" s="39"/>
      <c r="H95" s="39"/>
      <c r="I95" s="19"/>
      <c r="J95" s="19"/>
      <c r="K95" s="19"/>
      <c r="L95" s="19"/>
      <c r="M95" s="19"/>
      <c r="N95" s="19"/>
      <c r="O95" s="19"/>
      <c r="P95" s="32"/>
      <c r="Q95" s="33"/>
      <c r="R95" s="28" t="b">
        <f t="shared" si="2"/>
        <v>0</v>
      </c>
      <c r="S95" s="28" t="b">
        <f t="shared" si="3"/>
        <v>0</v>
      </c>
    </row>
    <row r="96" spans="1:19" x14ac:dyDescent="0.2">
      <c r="A96" s="19"/>
      <c r="B96" s="19"/>
      <c r="C96" s="19"/>
      <c r="D96" s="19"/>
      <c r="E96" s="19"/>
      <c r="F96" s="39"/>
      <c r="G96" s="39"/>
      <c r="H96" s="39"/>
      <c r="I96" s="19"/>
      <c r="J96" s="19"/>
      <c r="K96" s="19"/>
      <c r="L96" s="19"/>
      <c r="M96" s="19"/>
      <c r="N96" s="19"/>
      <c r="O96" s="19"/>
      <c r="P96" s="32"/>
      <c r="Q96" s="33"/>
      <c r="R96" s="28" t="b">
        <f t="shared" si="2"/>
        <v>0</v>
      </c>
      <c r="S96" s="28" t="b">
        <f t="shared" si="3"/>
        <v>0</v>
      </c>
    </row>
    <row r="97" spans="1:19" x14ac:dyDescent="0.2">
      <c r="A97" s="19"/>
      <c r="B97" s="19"/>
      <c r="C97" s="19"/>
      <c r="D97" s="19"/>
      <c r="E97" s="19"/>
      <c r="F97" s="39"/>
      <c r="G97" s="39"/>
      <c r="H97" s="39"/>
      <c r="I97" s="19"/>
      <c r="J97" s="19"/>
      <c r="K97" s="19"/>
      <c r="L97" s="19"/>
      <c r="M97" s="19"/>
      <c r="N97" s="19"/>
      <c r="O97" s="19"/>
      <c r="P97" s="32"/>
      <c r="Q97" s="33"/>
      <c r="R97" s="28" t="b">
        <f t="shared" si="2"/>
        <v>0</v>
      </c>
      <c r="S97" s="28" t="b">
        <f t="shared" si="3"/>
        <v>0</v>
      </c>
    </row>
    <row r="98" spans="1:19" x14ac:dyDescent="0.2">
      <c r="A98" s="19"/>
      <c r="B98" s="19"/>
      <c r="C98" s="19"/>
      <c r="D98" s="19"/>
      <c r="E98" s="19"/>
      <c r="F98" s="39"/>
      <c r="G98" s="39"/>
      <c r="H98" s="39"/>
      <c r="I98" s="19"/>
      <c r="J98" s="19"/>
      <c r="K98" s="19"/>
      <c r="L98" s="19"/>
      <c r="M98" s="19"/>
      <c r="N98" s="19"/>
      <c r="O98" s="19"/>
      <c r="P98" s="32"/>
      <c r="Q98" s="33"/>
      <c r="R98" s="28" t="b">
        <f t="shared" si="2"/>
        <v>0</v>
      </c>
      <c r="S98" s="28" t="b">
        <f t="shared" si="3"/>
        <v>0</v>
      </c>
    </row>
    <row r="99" spans="1:19" x14ac:dyDescent="0.2">
      <c r="A99" s="19"/>
      <c r="B99" s="19"/>
      <c r="C99" s="19"/>
      <c r="D99" s="19"/>
      <c r="E99" s="19"/>
      <c r="F99" s="39"/>
      <c r="G99" s="39"/>
      <c r="H99" s="39"/>
      <c r="I99" s="19"/>
      <c r="J99" s="19"/>
      <c r="K99" s="19"/>
      <c r="L99" s="19"/>
      <c r="M99" s="19"/>
      <c r="N99" s="19"/>
      <c r="O99" s="19"/>
      <c r="P99" s="32"/>
      <c r="Q99" s="33"/>
      <c r="R99" s="28" t="b">
        <f t="shared" si="2"/>
        <v>0</v>
      </c>
      <c r="S99" s="28" t="b">
        <f t="shared" si="3"/>
        <v>0</v>
      </c>
    </row>
    <row r="100" spans="1:19" x14ac:dyDescent="0.2">
      <c r="B100" s="5" t="s">
        <v>55</v>
      </c>
      <c r="H100" s="15"/>
      <c r="I100" s="19"/>
      <c r="J100" s="19"/>
      <c r="K100" s="19"/>
      <c r="L100" s="19"/>
      <c r="M100" s="19"/>
      <c r="N100" s="19"/>
      <c r="O100" s="19"/>
      <c r="P100" s="32"/>
      <c r="Q100" s="33"/>
      <c r="R100" s="28" t="b">
        <f t="shared" si="2"/>
        <v>0</v>
      </c>
      <c r="S100" s="28" t="b">
        <f t="shared" si="3"/>
        <v>0</v>
      </c>
    </row>
    <row r="101" spans="1:19" x14ac:dyDescent="0.2">
      <c r="A101" s="122"/>
      <c r="B101" s="88"/>
      <c r="C101" s="66" t="s">
        <v>56</v>
      </c>
      <c r="D101" s="66" t="s">
        <v>28</v>
      </c>
      <c r="E101" s="66" t="s">
        <v>64</v>
      </c>
      <c r="F101" s="66" t="s">
        <v>62</v>
      </c>
      <c r="G101" s="66" t="s">
        <v>66</v>
      </c>
      <c r="H101" s="15"/>
      <c r="I101" s="19"/>
      <c r="J101" s="19"/>
      <c r="K101" s="19"/>
      <c r="L101" s="19"/>
      <c r="M101" s="19"/>
      <c r="N101" s="19"/>
      <c r="O101" s="19"/>
      <c r="P101" s="32"/>
      <c r="Q101" s="33"/>
      <c r="R101" s="28" t="b">
        <f t="shared" si="2"/>
        <v>0</v>
      </c>
      <c r="S101" s="28" t="b">
        <f t="shared" si="3"/>
        <v>0</v>
      </c>
    </row>
    <row r="102" spans="1:19" x14ac:dyDescent="0.2">
      <c r="A102" s="67">
        <v>1</v>
      </c>
      <c r="B102" s="67">
        <f>A102+$B$32</f>
        <v>1</v>
      </c>
      <c r="C102" s="81" t="e">
        <f>MAX($B$17+$A$102*$B$18+$B$28+0.5*$B$6,$B$6)</f>
        <v>#DIV/0!</v>
      </c>
      <c r="D102" s="81" t="e">
        <f>$B$17+$A$102*$B$18+$B$27</f>
        <v>#DIV/0!</v>
      </c>
      <c r="E102" s="81" t="e">
        <f>MAX($B$17+$B$18*($B$35-$B$32)+$B$28+0.5*$B$6,$B$6)</f>
        <v>#DIV/0!</v>
      </c>
      <c r="F102" s="123">
        <f>MAX($P$3:$P$252)</f>
        <v>0</v>
      </c>
      <c r="G102" s="124" t="e">
        <f>MAX($B$17+$F$102*$B$18+$B$28+0.5*$B$6,$B$6)</f>
        <v>#DIV/0!</v>
      </c>
      <c r="H102" s="15"/>
      <c r="I102" s="19"/>
      <c r="J102" s="19"/>
      <c r="K102" s="19"/>
      <c r="L102" s="19"/>
      <c r="M102" s="19"/>
      <c r="N102" s="19"/>
      <c r="O102" s="19"/>
      <c r="P102" s="32"/>
      <c r="Q102" s="33"/>
      <c r="R102" s="28" t="b">
        <f t="shared" si="2"/>
        <v>0</v>
      </c>
      <c r="S102" s="28" t="b">
        <f t="shared" si="3"/>
        <v>0</v>
      </c>
    </row>
    <row r="103" spans="1:19" x14ac:dyDescent="0.2">
      <c r="A103" s="125" t="e">
        <f>(0.5*$B$6-$B$28-$B$17)/$B$18</f>
        <v>#DIV/0!</v>
      </c>
      <c r="B103" s="125" t="e">
        <f>$A103+$B$32</f>
        <v>#DIV/0!</v>
      </c>
      <c r="C103" s="81">
        <f>$B$6</f>
        <v>0</v>
      </c>
      <c r="D103" s="81" t="e">
        <f>$B$17+$A$103*$B$18+$B$27</f>
        <v>#DIV/0!</v>
      </c>
      <c r="E103" s="81" t="e">
        <f>MAX($B$17+$B$18*($C$35-$B$32)+$B$28+0.5*$B$6,$B$6)</f>
        <v>#DIV/0!</v>
      </c>
      <c r="F103" s="125">
        <f>$A$104</f>
        <v>44196</v>
      </c>
      <c r="G103" s="124" t="e">
        <f>$G$102</f>
        <v>#DIV/0!</v>
      </c>
      <c r="H103" s="15"/>
      <c r="I103" s="19"/>
      <c r="J103" s="19"/>
      <c r="K103" s="19"/>
      <c r="L103" s="19"/>
      <c r="M103" s="19"/>
      <c r="N103" s="19"/>
      <c r="O103" s="19"/>
      <c r="P103" s="32"/>
      <c r="Q103" s="33"/>
      <c r="R103" s="28" t="b">
        <f t="shared" si="2"/>
        <v>0</v>
      </c>
      <c r="S103" s="28" t="b">
        <f t="shared" si="3"/>
        <v>0</v>
      </c>
    </row>
    <row r="104" spans="1:19" x14ac:dyDescent="0.2">
      <c r="A104" s="67">
        <v>44196</v>
      </c>
      <c r="B104" s="67">
        <f>$A104+$B$32</f>
        <v>44196</v>
      </c>
      <c r="C104" s="124" t="e">
        <f>MAX($B$17+$A$104*$B$18+$B$28+0.5*$B$6,$B$6)</f>
        <v>#DIV/0!</v>
      </c>
      <c r="D104" s="124" t="e">
        <f>$B$17+$A$104*$B$18+$B$27</f>
        <v>#DIV/0!</v>
      </c>
      <c r="E104" s="88"/>
      <c r="F104" s="88"/>
      <c r="G104" s="126"/>
      <c r="H104" s="15"/>
      <c r="I104" s="19"/>
      <c r="J104" s="19"/>
      <c r="K104" s="19"/>
      <c r="L104" s="19"/>
      <c r="M104" s="19"/>
      <c r="N104" s="19"/>
      <c r="O104" s="19"/>
      <c r="P104" s="32"/>
      <c r="Q104" s="33"/>
      <c r="R104" s="28" t="b">
        <f t="shared" si="2"/>
        <v>0</v>
      </c>
      <c r="S104" s="28" t="b">
        <f t="shared" si="3"/>
        <v>0</v>
      </c>
    </row>
    <row r="105" spans="1:19" x14ac:dyDescent="0.2">
      <c r="A105" s="125">
        <f>$B$35</f>
        <v>0</v>
      </c>
      <c r="B105" s="125">
        <f>$C$35</f>
        <v>0</v>
      </c>
      <c r="C105" s="127">
        <v>0</v>
      </c>
      <c r="D105" s="128"/>
      <c r="E105" s="66" t="s">
        <v>65</v>
      </c>
      <c r="F105" s="88"/>
      <c r="G105" s="126"/>
      <c r="H105" s="15"/>
      <c r="I105" s="19"/>
      <c r="J105" s="19"/>
      <c r="K105" s="19"/>
      <c r="L105" s="19"/>
      <c r="M105" s="19"/>
      <c r="N105" s="19"/>
      <c r="O105" s="19"/>
      <c r="P105" s="32"/>
      <c r="Q105" s="33"/>
      <c r="R105" s="28" t="b">
        <f t="shared" si="2"/>
        <v>0</v>
      </c>
      <c r="S105" s="28" t="b">
        <f t="shared" si="3"/>
        <v>0</v>
      </c>
    </row>
    <row r="106" spans="1:19" x14ac:dyDescent="0.2">
      <c r="A106" s="125">
        <f>$B$35</f>
        <v>0</v>
      </c>
      <c r="B106" s="125">
        <f>$C$35</f>
        <v>0</v>
      </c>
      <c r="C106" s="127">
        <v>100000</v>
      </c>
      <c r="D106" s="128"/>
      <c r="E106" s="124" t="e">
        <f>$B$41</f>
        <v>#DIV/0!</v>
      </c>
      <c r="F106" s="128"/>
      <c r="G106" s="126"/>
      <c r="H106" s="15"/>
      <c r="I106" s="19"/>
      <c r="J106" s="19"/>
      <c r="K106" s="19"/>
      <c r="L106" s="19"/>
      <c r="M106" s="19"/>
      <c r="N106" s="19"/>
      <c r="O106" s="19"/>
      <c r="P106" s="32"/>
      <c r="Q106" s="33"/>
      <c r="R106" s="28" t="b">
        <f t="shared" si="2"/>
        <v>0</v>
      </c>
      <c r="S106" s="28" t="b">
        <f t="shared" si="3"/>
        <v>0</v>
      </c>
    </row>
    <row r="107" spans="1:19" x14ac:dyDescent="0.2">
      <c r="A107" s="128"/>
      <c r="B107" s="88"/>
      <c r="C107" s="88"/>
      <c r="D107" s="128"/>
      <c r="E107" s="124" t="e">
        <f>$B$41</f>
        <v>#DIV/0!</v>
      </c>
      <c r="F107" s="128"/>
      <c r="G107" s="126"/>
      <c r="H107" s="15"/>
      <c r="I107" s="19"/>
      <c r="J107" s="19"/>
      <c r="K107" s="19"/>
      <c r="L107" s="19"/>
      <c r="M107" s="19"/>
      <c r="N107" s="19"/>
      <c r="O107" s="19"/>
      <c r="P107" s="32"/>
      <c r="Q107" s="33"/>
      <c r="R107" s="28" t="b">
        <f t="shared" si="2"/>
        <v>0</v>
      </c>
      <c r="S107" s="28" t="b">
        <f t="shared" si="3"/>
        <v>0</v>
      </c>
    </row>
    <row r="108" spans="1:19" x14ac:dyDescent="0.2">
      <c r="A108" s="88"/>
      <c r="B108" s="88"/>
      <c r="C108" s="88"/>
      <c r="D108" s="88"/>
      <c r="E108" s="88"/>
      <c r="F108" s="128"/>
      <c r="G108" s="126"/>
      <c r="H108" s="15"/>
      <c r="I108" s="19"/>
      <c r="J108" s="19"/>
      <c r="K108" s="19"/>
      <c r="L108" s="19"/>
      <c r="M108" s="19"/>
      <c r="N108" s="19"/>
      <c r="O108" s="19"/>
      <c r="P108" s="32"/>
      <c r="Q108" s="33"/>
      <c r="R108" s="28" t="b">
        <f t="shared" si="2"/>
        <v>0</v>
      </c>
      <c r="S108" s="28" t="b">
        <f t="shared" si="3"/>
        <v>0</v>
      </c>
    </row>
    <row r="109" spans="1:19" x14ac:dyDescent="0.2">
      <c r="A109" s="88"/>
      <c r="B109" s="88"/>
      <c r="C109" s="88"/>
      <c r="D109" s="88"/>
      <c r="E109" s="88"/>
      <c r="F109" s="128"/>
      <c r="G109" s="126"/>
      <c r="H109" s="15"/>
      <c r="I109" s="19"/>
      <c r="J109" s="19"/>
      <c r="K109" s="19"/>
      <c r="L109" s="19"/>
      <c r="M109" s="19"/>
      <c r="N109" s="19"/>
      <c r="O109" s="19"/>
      <c r="P109" s="32"/>
      <c r="Q109" s="33"/>
      <c r="R109" s="28" t="b">
        <f t="shared" si="2"/>
        <v>0</v>
      </c>
      <c r="S109" s="28" t="b">
        <f t="shared" si="3"/>
        <v>0</v>
      </c>
    </row>
    <row r="110" spans="1:19" x14ac:dyDescent="0.2">
      <c r="A110" s="88"/>
      <c r="B110" s="88"/>
      <c r="C110" s="88"/>
      <c r="D110" s="88"/>
      <c r="E110" s="88"/>
      <c r="F110" s="128"/>
      <c r="G110" s="126"/>
      <c r="H110" s="15"/>
      <c r="I110" s="19"/>
      <c r="J110" s="19"/>
      <c r="K110" s="19"/>
      <c r="L110" s="19"/>
      <c r="M110" s="19"/>
      <c r="N110" s="19"/>
      <c r="O110" s="19"/>
      <c r="P110" s="32"/>
      <c r="Q110" s="33"/>
      <c r="R110" s="28" t="b">
        <f t="shared" si="2"/>
        <v>0</v>
      </c>
      <c r="S110" s="28" t="b">
        <f t="shared" si="3"/>
        <v>0</v>
      </c>
    </row>
    <row r="111" spans="1:19" x14ac:dyDescent="0.2">
      <c r="A111" s="88"/>
      <c r="B111" s="88"/>
      <c r="C111" s="66" t="s">
        <v>50</v>
      </c>
      <c r="D111" s="76" t="b">
        <f>IF($B$9&gt;3,INDEX(XX!$C$4:'XX'!$C$150,$B$9))</f>
        <v>0</v>
      </c>
      <c r="E111" s="76" t="b">
        <f>IF($B$9&gt;3,INDEX(XX!$D$4:'XX'!$D$150,$B$9))</f>
        <v>0</v>
      </c>
      <c r="F111" s="128"/>
      <c r="G111" s="126"/>
      <c r="H111" s="15"/>
      <c r="I111" s="19"/>
      <c r="J111" s="19"/>
      <c r="K111" s="19"/>
      <c r="L111" s="19"/>
      <c r="M111" s="19"/>
      <c r="N111" s="19"/>
      <c r="O111" s="19"/>
      <c r="P111" s="32"/>
      <c r="Q111" s="33"/>
      <c r="R111" s="28" t="b">
        <f t="shared" si="2"/>
        <v>0</v>
      </c>
      <c r="S111" s="28" t="b">
        <f t="shared" si="3"/>
        <v>0</v>
      </c>
    </row>
    <row r="112" spans="1:19" x14ac:dyDescent="0.2">
      <c r="A112" s="88"/>
      <c r="B112" s="88"/>
      <c r="C112" s="66" t="s">
        <v>51</v>
      </c>
      <c r="D112" s="129" t="s">
        <v>52</v>
      </c>
      <c r="E112" s="129" t="s">
        <v>53</v>
      </c>
      <c r="F112" s="128"/>
      <c r="G112" s="126"/>
      <c r="H112" s="15"/>
      <c r="I112" s="19"/>
      <c r="J112" s="19"/>
      <c r="K112" s="19"/>
      <c r="L112" s="19"/>
      <c r="M112" s="19"/>
      <c r="N112" s="19"/>
      <c r="O112" s="19"/>
      <c r="P112" s="32"/>
      <c r="Q112" s="33"/>
      <c r="R112" s="28" t="b">
        <f t="shared" si="2"/>
        <v>0</v>
      </c>
      <c r="S112" s="28" t="b">
        <f t="shared" si="3"/>
        <v>0</v>
      </c>
    </row>
    <row r="113" spans="1:19" x14ac:dyDescent="0.2">
      <c r="A113" s="66" t="s">
        <v>40</v>
      </c>
      <c r="B113" s="89" t="e">
        <f>MIN($A$50:$A$199)</f>
        <v>#DIV/0!</v>
      </c>
      <c r="C113" s="88"/>
      <c r="D113" s="76" t="e">
        <f>IF((ABS($B$16)&gt;$I$58)*AND(ABS($B$16)&lt;$J$58),#REF!+#REF!*B113,0)</f>
        <v>#DIV/0!</v>
      </c>
      <c r="E113" s="76" t="e">
        <f>IF((ABS($B$16)&gt;$J$58),$B$17+$B$18*$B113,0)</f>
        <v>#DIV/0!</v>
      </c>
      <c r="F113" s="128"/>
      <c r="G113" s="126"/>
      <c r="H113" s="15"/>
      <c r="I113" s="19"/>
      <c r="J113" s="19"/>
      <c r="K113" s="19"/>
      <c r="L113" s="19"/>
      <c r="M113" s="19"/>
      <c r="N113" s="19"/>
      <c r="O113" s="19"/>
      <c r="P113" s="32"/>
      <c r="Q113" s="33"/>
      <c r="R113" s="28" t="b">
        <f t="shared" si="2"/>
        <v>0</v>
      </c>
      <c r="S113" s="28" t="b">
        <f t="shared" si="3"/>
        <v>0</v>
      </c>
    </row>
    <row r="114" spans="1:19" x14ac:dyDescent="0.2">
      <c r="A114" s="66" t="s">
        <v>41</v>
      </c>
      <c r="B114" s="89">
        <f>MAX($P$3:$P$252)</f>
        <v>0</v>
      </c>
      <c r="C114" s="88"/>
      <c r="D114" s="76" t="e">
        <f>IF((ABS($B$16)&gt;$I$58)*AND(ABS($B$16)&lt;$J$58),#REF!+#REF!*B114,0)</f>
        <v>#DIV/0!</v>
      </c>
      <c r="E114" s="76" t="e">
        <f>IF((ABS($B$16)&gt;$E$111),$B$17+$B$18*$B114,0)</f>
        <v>#DIV/0!</v>
      </c>
      <c r="F114" s="128"/>
      <c r="G114" s="126"/>
      <c r="H114" s="15"/>
      <c r="I114" s="19"/>
      <c r="J114" s="19"/>
      <c r="K114" s="19"/>
      <c r="L114" s="19"/>
      <c r="M114" s="19"/>
      <c r="N114" s="19"/>
      <c r="O114" s="19"/>
      <c r="P114" s="32"/>
      <c r="Q114" s="33"/>
      <c r="R114" s="28" t="b">
        <f t="shared" si="2"/>
        <v>0</v>
      </c>
      <c r="S114" s="28" t="b">
        <f t="shared" si="3"/>
        <v>0</v>
      </c>
    </row>
    <row r="115" spans="1:19" x14ac:dyDescent="0.2">
      <c r="F115" s="15"/>
      <c r="G115" s="15"/>
      <c r="H115" s="15"/>
      <c r="I115" s="19"/>
      <c r="J115" s="19"/>
      <c r="K115" s="19"/>
      <c r="L115" s="19"/>
      <c r="M115" s="19"/>
      <c r="N115" s="19"/>
      <c r="O115" s="19"/>
      <c r="P115" s="32"/>
      <c r="Q115" s="33"/>
      <c r="R115" s="28" t="b">
        <f t="shared" si="2"/>
        <v>0</v>
      </c>
      <c r="S115" s="28" t="b">
        <f t="shared" si="3"/>
        <v>0</v>
      </c>
    </row>
    <row r="116" spans="1:19" x14ac:dyDescent="0.2">
      <c r="F116" s="15"/>
      <c r="G116" s="15"/>
      <c r="H116" s="15"/>
      <c r="I116" s="19"/>
      <c r="J116" s="19"/>
      <c r="K116" s="19"/>
      <c r="L116" s="19"/>
      <c r="M116" s="19"/>
      <c r="N116" s="19"/>
      <c r="O116" s="19"/>
      <c r="P116" s="32"/>
      <c r="Q116" s="33"/>
      <c r="R116" s="28" t="b">
        <f t="shared" si="2"/>
        <v>0</v>
      </c>
      <c r="S116" s="28" t="b">
        <f t="shared" si="3"/>
        <v>0</v>
      </c>
    </row>
    <row r="117" spans="1:19" x14ac:dyDescent="0.2">
      <c r="F117" s="15"/>
      <c r="G117" s="15"/>
      <c r="H117" s="15"/>
      <c r="I117" s="19"/>
      <c r="J117" s="19"/>
      <c r="K117" s="19"/>
      <c r="L117" s="19"/>
      <c r="M117" s="19"/>
      <c r="N117" s="19"/>
      <c r="O117" s="19"/>
      <c r="P117" s="32"/>
      <c r="Q117" s="33"/>
      <c r="R117" s="28" t="b">
        <f t="shared" si="2"/>
        <v>0</v>
      </c>
      <c r="S117" s="28" t="b">
        <f t="shared" si="3"/>
        <v>0</v>
      </c>
    </row>
    <row r="118" spans="1:19" x14ac:dyDescent="0.2">
      <c r="F118" s="15"/>
      <c r="G118" s="15"/>
      <c r="H118" s="15"/>
      <c r="I118" s="19"/>
      <c r="J118" s="19"/>
      <c r="K118" s="19"/>
      <c r="L118" s="19"/>
      <c r="M118" s="19"/>
      <c r="N118" s="19"/>
      <c r="O118" s="19"/>
      <c r="P118" s="32"/>
      <c r="Q118" s="33"/>
      <c r="R118" s="28" t="b">
        <f t="shared" si="2"/>
        <v>0</v>
      </c>
      <c r="S118" s="28" t="b">
        <f t="shared" si="3"/>
        <v>0</v>
      </c>
    </row>
    <row r="119" spans="1:19" x14ac:dyDescent="0.2">
      <c r="F119" s="15"/>
      <c r="G119" s="15"/>
      <c r="H119" s="15"/>
      <c r="I119" s="19"/>
      <c r="J119" s="19"/>
      <c r="K119" s="19"/>
      <c r="L119" s="19"/>
      <c r="M119" s="19"/>
      <c r="N119" s="19"/>
      <c r="O119" s="19"/>
      <c r="P119" s="32"/>
      <c r="Q119" s="33"/>
      <c r="R119" s="28" t="b">
        <f t="shared" si="2"/>
        <v>0</v>
      </c>
      <c r="S119" s="28" t="b">
        <f t="shared" si="3"/>
        <v>0</v>
      </c>
    </row>
    <row r="120" spans="1:19" x14ac:dyDescent="0.2">
      <c r="F120" s="15"/>
      <c r="G120" s="15"/>
      <c r="H120" s="15"/>
      <c r="I120" s="19"/>
      <c r="J120" s="19"/>
      <c r="K120" s="19"/>
      <c r="L120" s="19"/>
      <c r="M120" s="19"/>
      <c r="N120" s="19"/>
      <c r="O120" s="19"/>
      <c r="P120" s="32"/>
      <c r="Q120" s="33"/>
      <c r="R120" s="28" t="b">
        <f t="shared" si="2"/>
        <v>0</v>
      </c>
      <c r="S120" s="28" t="b">
        <f t="shared" si="3"/>
        <v>0</v>
      </c>
    </row>
    <row r="121" spans="1:19" x14ac:dyDescent="0.2">
      <c r="I121" s="19"/>
      <c r="J121" s="19"/>
      <c r="K121" s="19"/>
      <c r="L121" s="19"/>
      <c r="M121" s="19"/>
      <c r="N121" s="19"/>
      <c r="O121" s="19"/>
      <c r="P121" s="32"/>
      <c r="Q121" s="33"/>
      <c r="R121" s="28" t="b">
        <f t="shared" si="2"/>
        <v>0</v>
      </c>
      <c r="S121" s="28" t="b">
        <f t="shared" si="3"/>
        <v>0</v>
      </c>
    </row>
    <row r="122" spans="1:19" x14ac:dyDescent="0.2">
      <c r="I122" s="19"/>
      <c r="J122" s="19"/>
      <c r="K122" s="19"/>
      <c r="L122" s="19"/>
      <c r="M122" s="19"/>
      <c r="N122" s="19"/>
      <c r="O122" s="19"/>
      <c r="P122" s="32"/>
      <c r="Q122" s="33"/>
      <c r="R122" s="28" t="b">
        <f t="shared" si="2"/>
        <v>0</v>
      </c>
      <c r="S122" s="28" t="b">
        <f t="shared" si="3"/>
        <v>0</v>
      </c>
    </row>
    <row r="123" spans="1:19" x14ac:dyDescent="0.2">
      <c r="I123" s="19"/>
      <c r="J123" s="19"/>
      <c r="K123" s="19"/>
      <c r="L123" s="19"/>
      <c r="M123" s="19"/>
      <c r="N123" s="19"/>
      <c r="O123" s="19"/>
      <c r="P123" s="32"/>
      <c r="Q123" s="33"/>
      <c r="R123" s="28" t="b">
        <f t="shared" si="2"/>
        <v>0</v>
      </c>
      <c r="S123" s="28" t="b">
        <f t="shared" si="3"/>
        <v>0</v>
      </c>
    </row>
    <row r="124" spans="1:19" x14ac:dyDescent="0.2">
      <c r="I124" s="19"/>
      <c r="J124" s="19"/>
      <c r="K124" s="19"/>
      <c r="L124" s="19"/>
      <c r="M124" s="19"/>
      <c r="N124" s="19"/>
      <c r="O124" s="19"/>
      <c r="P124" s="32"/>
      <c r="Q124" s="33"/>
      <c r="R124" s="28" t="b">
        <f t="shared" si="2"/>
        <v>0</v>
      </c>
      <c r="S124" s="28" t="b">
        <f t="shared" si="3"/>
        <v>0</v>
      </c>
    </row>
    <row r="125" spans="1:19" x14ac:dyDescent="0.2">
      <c r="I125" s="19"/>
      <c r="J125" s="19"/>
      <c r="K125" s="19"/>
      <c r="L125" s="19"/>
      <c r="M125" s="19"/>
      <c r="N125" s="19"/>
      <c r="O125" s="19"/>
      <c r="P125" s="32"/>
      <c r="Q125" s="33"/>
      <c r="R125" s="28" t="b">
        <f t="shared" si="2"/>
        <v>0</v>
      </c>
      <c r="S125" s="28" t="b">
        <f t="shared" si="3"/>
        <v>0</v>
      </c>
    </row>
    <row r="126" spans="1:19" x14ac:dyDescent="0.2">
      <c r="I126" s="19"/>
      <c r="J126" s="19"/>
      <c r="K126" s="19"/>
      <c r="L126" s="19"/>
      <c r="M126" s="19"/>
      <c r="N126" s="19"/>
      <c r="O126" s="19"/>
      <c r="P126" s="32"/>
      <c r="Q126" s="33"/>
      <c r="R126" s="28" t="b">
        <f t="shared" si="2"/>
        <v>0</v>
      </c>
      <c r="S126" s="28" t="b">
        <f t="shared" si="3"/>
        <v>0</v>
      </c>
    </row>
    <row r="127" spans="1:19" x14ac:dyDescent="0.2">
      <c r="I127" s="19"/>
      <c r="J127" s="19"/>
      <c r="K127" s="19"/>
      <c r="L127" s="19"/>
      <c r="M127" s="19"/>
      <c r="N127" s="19"/>
      <c r="O127" s="19"/>
      <c r="P127" s="32"/>
      <c r="Q127" s="33"/>
      <c r="R127" s="28" t="b">
        <f t="shared" si="2"/>
        <v>0</v>
      </c>
      <c r="S127" s="28" t="b">
        <f t="shared" si="3"/>
        <v>0</v>
      </c>
    </row>
    <row r="128" spans="1:19" x14ac:dyDescent="0.2">
      <c r="I128" s="19"/>
      <c r="J128" s="19"/>
      <c r="K128" s="19"/>
      <c r="L128" s="19"/>
      <c r="M128" s="19"/>
      <c r="N128" s="19"/>
      <c r="O128" s="19"/>
      <c r="P128" s="32"/>
      <c r="Q128" s="33"/>
      <c r="R128" s="28" t="b">
        <f t="shared" si="2"/>
        <v>0</v>
      </c>
      <c r="S128" s="28" t="b">
        <f t="shared" si="3"/>
        <v>0</v>
      </c>
    </row>
    <row r="129" spans="9:19" x14ac:dyDescent="0.2">
      <c r="I129" s="19"/>
      <c r="J129" s="19"/>
      <c r="K129" s="19"/>
      <c r="L129" s="19"/>
      <c r="M129" s="19"/>
      <c r="N129" s="19"/>
      <c r="O129" s="19"/>
      <c r="P129" s="32"/>
      <c r="Q129" s="33"/>
      <c r="R129" s="28" t="b">
        <f t="shared" si="2"/>
        <v>0</v>
      </c>
      <c r="S129" s="28" t="b">
        <f t="shared" si="3"/>
        <v>0</v>
      </c>
    </row>
    <row r="130" spans="9:19" x14ac:dyDescent="0.2">
      <c r="I130" s="19"/>
      <c r="J130" s="19"/>
      <c r="K130" s="19"/>
      <c r="L130" s="19"/>
      <c r="M130" s="19"/>
      <c r="N130" s="19"/>
      <c r="O130" s="19"/>
      <c r="P130" s="32"/>
      <c r="Q130" s="33"/>
      <c r="R130" s="28" t="b">
        <f t="shared" si="2"/>
        <v>0</v>
      </c>
      <c r="S130" s="28" t="b">
        <f t="shared" si="3"/>
        <v>0</v>
      </c>
    </row>
    <row r="131" spans="9:19" x14ac:dyDescent="0.2">
      <c r="I131" s="19"/>
      <c r="J131" s="19"/>
      <c r="K131" s="19"/>
      <c r="L131" s="19"/>
      <c r="M131" s="19"/>
      <c r="N131" s="19"/>
      <c r="O131" s="19"/>
      <c r="P131" s="32"/>
      <c r="Q131" s="33"/>
      <c r="R131" s="28" t="b">
        <f t="shared" si="2"/>
        <v>0</v>
      </c>
      <c r="S131" s="28" t="b">
        <f t="shared" si="3"/>
        <v>0</v>
      </c>
    </row>
    <row r="132" spans="9:19" x14ac:dyDescent="0.2">
      <c r="I132" s="19"/>
      <c r="J132" s="19"/>
      <c r="K132" s="19"/>
      <c r="L132" s="19"/>
      <c r="M132" s="19"/>
      <c r="N132" s="19"/>
      <c r="O132" s="19"/>
      <c r="P132" s="32"/>
      <c r="Q132" s="33"/>
      <c r="R132" s="28" t="b">
        <f t="shared" ref="R132:R195" si="4">IF($P132&gt;0,$B$17+$B$18*$P132)</f>
        <v>0</v>
      </c>
      <c r="S132" s="28" t="b">
        <f t="shared" ref="S132:S195" si="5">IF($P132&gt;0,$Q132-$R132)</f>
        <v>0</v>
      </c>
    </row>
    <row r="133" spans="9:19" x14ac:dyDescent="0.2">
      <c r="I133" s="19"/>
      <c r="J133" s="19"/>
      <c r="K133" s="19"/>
      <c r="L133" s="19"/>
      <c r="M133" s="19"/>
      <c r="N133" s="19"/>
      <c r="O133" s="19"/>
      <c r="P133" s="32"/>
      <c r="Q133" s="33"/>
      <c r="R133" s="28" t="b">
        <f t="shared" si="4"/>
        <v>0</v>
      </c>
      <c r="S133" s="28" t="b">
        <f t="shared" si="5"/>
        <v>0</v>
      </c>
    </row>
    <row r="134" spans="9:19" x14ac:dyDescent="0.2">
      <c r="I134" s="19"/>
      <c r="J134" s="19"/>
      <c r="K134" s="19"/>
      <c r="L134" s="19"/>
      <c r="M134" s="19"/>
      <c r="N134" s="19"/>
      <c r="O134" s="19"/>
      <c r="P134" s="32"/>
      <c r="Q134" s="33"/>
      <c r="R134" s="28" t="b">
        <f t="shared" si="4"/>
        <v>0</v>
      </c>
      <c r="S134" s="28" t="b">
        <f t="shared" si="5"/>
        <v>0</v>
      </c>
    </row>
    <row r="135" spans="9:19" x14ac:dyDescent="0.2">
      <c r="I135" s="19"/>
      <c r="J135" s="19"/>
      <c r="K135" s="19"/>
      <c r="L135" s="19"/>
      <c r="M135" s="19"/>
      <c r="N135" s="19"/>
      <c r="O135" s="19"/>
      <c r="P135" s="32"/>
      <c r="Q135" s="33"/>
      <c r="R135" s="28" t="b">
        <f t="shared" si="4"/>
        <v>0</v>
      </c>
      <c r="S135" s="28" t="b">
        <f t="shared" si="5"/>
        <v>0</v>
      </c>
    </row>
    <row r="136" spans="9:19" x14ac:dyDescent="0.2">
      <c r="I136" s="19"/>
      <c r="J136" s="19"/>
      <c r="K136" s="19"/>
      <c r="L136" s="19"/>
      <c r="M136" s="19"/>
      <c r="N136" s="19"/>
      <c r="O136" s="19"/>
      <c r="P136" s="32"/>
      <c r="Q136" s="33"/>
      <c r="R136" s="28" t="b">
        <f t="shared" si="4"/>
        <v>0</v>
      </c>
      <c r="S136" s="28" t="b">
        <f t="shared" si="5"/>
        <v>0</v>
      </c>
    </row>
    <row r="137" spans="9:19" x14ac:dyDescent="0.2">
      <c r="I137" s="19"/>
      <c r="J137" s="19"/>
      <c r="K137" s="19"/>
      <c r="L137" s="19"/>
      <c r="M137" s="19"/>
      <c r="N137" s="19"/>
      <c r="O137" s="19"/>
      <c r="P137" s="32"/>
      <c r="Q137" s="33"/>
      <c r="R137" s="28" t="b">
        <f t="shared" si="4"/>
        <v>0</v>
      </c>
      <c r="S137" s="28" t="b">
        <f t="shared" si="5"/>
        <v>0</v>
      </c>
    </row>
    <row r="138" spans="9:19" x14ac:dyDescent="0.2">
      <c r="I138" s="19"/>
      <c r="J138" s="19"/>
      <c r="K138" s="19"/>
      <c r="L138" s="19"/>
      <c r="M138" s="19"/>
      <c r="N138" s="19"/>
      <c r="O138" s="19"/>
      <c r="P138" s="32"/>
      <c r="Q138" s="33"/>
      <c r="R138" s="28" t="b">
        <f t="shared" si="4"/>
        <v>0</v>
      </c>
      <c r="S138" s="28" t="b">
        <f t="shared" si="5"/>
        <v>0</v>
      </c>
    </row>
    <row r="139" spans="9:19" x14ac:dyDescent="0.2">
      <c r="I139" s="19"/>
      <c r="J139" s="19"/>
      <c r="K139" s="19"/>
      <c r="L139" s="19"/>
      <c r="M139" s="19"/>
      <c r="N139" s="19"/>
      <c r="O139" s="19"/>
      <c r="P139" s="32"/>
      <c r="Q139" s="33"/>
      <c r="R139" s="28" t="b">
        <f t="shared" si="4"/>
        <v>0</v>
      </c>
      <c r="S139" s="28" t="b">
        <f t="shared" si="5"/>
        <v>0</v>
      </c>
    </row>
    <row r="140" spans="9:19" x14ac:dyDescent="0.2">
      <c r="I140" s="19"/>
      <c r="J140" s="19"/>
      <c r="K140" s="19"/>
      <c r="L140" s="19"/>
      <c r="M140" s="19"/>
      <c r="N140" s="19"/>
      <c r="O140" s="19"/>
      <c r="P140" s="32"/>
      <c r="Q140" s="33"/>
      <c r="R140" s="28" t="b">
        <f t="shared" si="4"/>
        <v>0</v>
      </c>
      <c r="S140" s="28" t="b">
        <f t="shared" si="5"/>
        <v>0</v>
      </c>
    </row>
    <row r="141" spans="9:19" x14ac:dyDescent="0.2">
      <c r="I141" s="19"/>
      <c r="J141" s="19"/>
      <c r="K141" s="19"/>
      <c r="L141" s="19"/>
      <c r="M141" s="19"/>
      <c r="N141" s="19"/>
      <c r="O141" s="19"/>
      <c r="P141" s="32"/>
      <c r="Q141" s="33"/>
      <c r="R141" s="28" t="b">
        <f t="shared" si="4"/>
        <v>0</v>
      </c>
      <c r="S141" s="28" t="b">
        <f t="shared" si="5"/>
        <v>0</v>
      </c>
    </row>
    <row r="142" spans="9:19" x14ac:dyDescent="0.2">
      <c r="I142" s="19"/>
      <c r="J142" s="19"/>
      <c r="K142" s="19"/>
      <c r="L142" s="19"/>
      <c r="M142" s="19"/>
      <c r="N142" s="19"/>
      <c r="O142" s="19"/>
      <c r="P142" s="32"/>
      <c r="Q142" s="33"/>
      <c r="R142" s="28" t="b">
        <f t="shared" si="4"/>
        <v>0</v>
      </c>
      <c r="S142" s="28" t="b">
        <f t="shared" si="5"/>
        <v>0</v>
      </c>
    </row>
    <row r="143" spans="9:19" x14ac:dyDescent="0.2">
      <c r="I143" s="19"/>
      <c r="J143" s="19"/>
      <c r="K143" s="19"/>
      <c r="L143" s="19"/>
      <c r="M143" s="19"/>
      <c r="N143" s="19"/>
      <c r="O143" s="19"/>
      <c r="P143" s="32"/>
      <c r="Q143" s="33"/>
      <c r="R143" s="28" t="b">
        <f t="shared" si="4"/>
        <v>0</v>
      </c>
      <c r="S143" s="28" t="b">
        <f t="shared" si="5"/>
        <v>0</v>
      </c>
    </row>
    <row r="144" spans="9:19" x14ac:dyDescent="0.2">
      <c r="I144" s="19"/>
      <c r="J144" s="19"/>
      <c r="K144" s="19"/>
      <c r="L144" s="19"/>
      <c r="M144" s="19"/>
      <c r="N144" s="19"/>
      <c r="O144" s="19"/>
      <c r="P144" s="32"/>
      <c r="Q144" s="33"/>
      <c r="R144" s="28" t="b">
        <f t="shared" si="4"/>
        <v>0</v>
      </c>
      <c r="S144" s="28" t="b">
        <f t="shared" si="5"/>
        <v>0</v>
      </c>
    </row>
    <row r="145" spans="9:19" x14ac:dyDescent="0.2">
      <c r="I145" s="19"/>
      <c r="J145" s="19"/>
      <c r="K145" s="19"/>
      <c r="L145" s="19"/>
      <c r="M145" s="19"/>
      <c r="N145" s="19"/>
      <c r="O145" s="19"/>
      <c r="P145" s="32"/>
      <c r="Q145" s="33"/>
      <c r="R145" s="28" t="b">
        <f t="shared" si="4"/>
        <v>0</v>
      </c>
      <c r="S145" s="28" t="b">
        <f t="shared" si="5"/>
        <v>0</v>
      </c>
    </row>
    <row r="146" spans="9:19" x14ac:dyDescent="0.2">
      <c r="I146" s="19"/>
      <c r="J146" s="19"/>
      <c r="K146" s="19"/>
      <c r="L146" s="19"/>
      <c r="M146" s="19"/>
      <c r="N146" s="19"/>
      <c r="O146" s="19"/>
      <c r="P146" s="32"/>
      <c r="Q146" s="33"/>
      <c r="R146" s="28" t="b">
        <f t="shared" si="4"/>
        <v>0</v>
      </c>
      <c r="S146" s="28" t="b">
        <f t="shared" si="5"/>
        <v>0</v>
      </c>
    </row>
    <row r="147" spans="9:19" x14ac:dyDescent="0.2">
      <c r="I147" s="19"/>
      <c r="J147" s="19"/>
      <c r="K147" s="19"/>
      <c r="L147" s="19"/>
      <c r="M147" s="19"/>
      <c r="N147" s="19"/>
      <c r="O147" s="19"/>
      <c r="P147" s="32"/>
      <c r="Q147" s="33"/>
      <c r="R147" s="28" t="b">
        <f t="shared" si="4"/>
        <v>0</v>
      </c>
      <c r="S147" s="28" t="b">
        <f t="shared" si="5"/>
        <v>0</v>
      </c>
    </row>
    <row r="148" spans="9:19" x14ac:dyDescent="0.2">
      <c r="I148" s="19"/>
      <c r="J148" s="19"/>
      <c r="K148" s="19"/>
      <c r="L148" s="19"/>
      <c r="M148" s="19"/>
      <c r="N148" s="19"/>
      <c r="O148" s="19"/>
      <c r="P148" s="32"/>
      <c r="Q148" s="33"/>
      <c r="R148" s="28" t="b">
        <f t="shared" si="4"/>
        <v>0</v>
      </c>
      <c r="S148" s="28" t="b">
        <f t="shared" si="5"/>
        <v>0</v>
      </c>
    </row>
    <row r="149" spans="9:19" x14ac:dyDescent="0.2">
      <c r="I149" s="19"/>
      <c r="J149" s="19"/>
      <c r="K149" s="19"/>
      <c r="L149" s="19"/>
      <c r="M149" s="19"/>
      <c r="N149" s="19"/>
      <c r="O149" s="19"/>
      <c r="P149" s="32"/>
      <c r="Q149" s="33"/>
      <c r="R149" s="28" t="b">
        <f t="shared" si="4"/>
        <v>0</v>
      </c>
      <c r="S149" s="28" t="b">
        <f t="shared" si="5"/>
        <v>0</v>
      </c>
    </row>
    <row r="150" spans="9:19" x14ac:dyDescent="0.2">
      <c r="I150" s="19"/>
      <c r="J150" s="19"/>
      <c r="K150" s="19"/>
      <c r="L150" s="19"/>
      <c r="M150" s="19"/>
      <c r="N150" s="19"/>
      <c r="O150" s="19"/>
      <c r="P150" s="32"/>
      <c r="Q150" s="33"/>
      <c r="R150" s="28" t="b">
        <f t="shared" si="4"/>
        <v>0</v>
      </c>
      <c r="S150" s="28" t="b">
        <f t="shared" si="5"/>
        <v>0</v>
      </c>
    </row>
    <row r="151" spans="9:19" x14ac:dyDescent="0.2">
      <c r="I151" s="19"/>
      <c r="J151" s="19"/>
      <c r="K151" s="19"/>
      <c r="L151" s="19"/>
      <c r="M151" s="19"/>
      <c r="N151" s="19"/>
      <c r="O151" s="19"/>
      <c r="P151" s="32"/>
      <c r="Q151" s="33"/>
      <c r="R151" s="28" t="b">
        <f t="shared" si="4"/>
        <v>0</v>
      </c>
      <c r="S151" s="28" t="b">
        <f t="shared" si="5"/>
        <v>0</v>
      </c>
    </row>
    <row r="152" spans="9:19" x14ac:dyDescent="0.2">
      <c r="I152" s="19"/>
      <c r="J152" s="19"/>
      <c r="K152" s="19"/>
      <c r="L152" s="19"/>
      <c r="M152" s="19"/>
      <c r="N152" s="19"/>
      <c r="O152" s="19"/>
      <c r="P152" s="32"/>
      <c r="Q152" s="33"/>
      <c r="R152" s="28" t="b">
        <f t="shared" si="4"/>
        <v>0</v>
      </c>
      <c r="S152" s="28" t="b">
        <f t="shared" si="5"/>
        <v>0</v>
      </c>
    </row>
    <row r="153" spans="9:19" x14ac:dyDescent="0.2">
      <c r="I153" s="19"/>
      <c r="J153" s="19"/>
      <c r="K153" s="19"/>
      <c r="L153" s="19"/>
      <c r="M153" s="19"/>
      <c r="N153" s="19"/>
      <c r="O153" s="19"/>
      <c r="P153" s="32"/>
      <c r="Q153" s="33"/>
      <c r="R153" s="28" t="b">
        <f t="shared" si="4"/>
        <v>0</v>
      </c>
      <c r="S153" s="28" t="b">
        <f t="shared" si="5"/>
        <v>0</v>
      </c>
    </row>
    <row r="154" spans="9:19" x14ac:dyDescent="0.2">
      <c r="I154" s="19"/>
      <c r="J154" s="19"/>
      <c r="K154" s="19"/>
      <c r="L154" s="19"/>
      <c r="M154" s="19"/>
      <c r="N154" s="19"/>
      <c r="O154" s="19"/>
      <c r="P154" s="32"/>
      <c r="Q154" s="33"/>
      <c r="R154" s="28" t="b">
        <f t="shared" si="4"/>
        <v>0</v>
      </c>
      <c r="S154" s="28" t="b">
        <f t="shared" si="5"/>
        <v>0</v>
      </c>
    </row>
    <row r="155" spans="9:19" x14ac:dyDescent="0.2">
      <c r="P155" s="32"/>
      <c r="Q155" s="33"/>
      <c r="R155" s="28" t="b">
        <f t="shared" si="4"/>
        <v>0</v>
      </c>
      <c r="S155" s="28" t="b">
        <f t="shared" si="5"/>
        <v>0</v>
      </c>
    </row>
    <row r="156" spans="9:19" x14ac:dyDescent="0.2">
      <c r="P156" s="32"/>
      <c r="Q156" s="33"/>
      <c r="R156" s="28" t="b">
        <f t="shared" si="4"/>
        <v>0</v>
      </c>
      <c r="S156" s="28" t="b">
        <f t="shared" si="5"/>
        <v>0</v>
      </c>
    </row>
    <row r="157" spans="9:19" x14ac:dyDescent="0.2">
      <c r="P157" s="32"/>
      <c r="Q157" s="33"/>
      <c r="R157" s="28" t="b">
        <f t="shared" si="4"/>
        <v>0</v>
      </c>
      <c r="S157" s="28" t="b">
        <f t="shared" si="5"/>
        <v>0</v>
      </c>
    </row>
    <row r="158" spans="9:19" x14ac:dyDescent="0.2">
      <c r="P158" s="32"/>
      <c r="Q158" s="33"/>
      <c r="R158" s="28" t="b">
        <f t="shared" si="4"/>
        <v>0</v>
      </c>
      <c r="S158" s="28" t="b">
        <f t="shared" si="5"/>
        <v>0</v>
      </c>
    </row>
    <row r="159" spans="9:19" x14ac:dyDescent="0.2">
      <c r="P159" s="32"/>
      <c r="Q159" s="33"/>
      <c r="R159" s="28" t="b">
        <f t="shared" si="4"/>
        <v>0</v>
      </c>
      <c r="S159" s="28" t="b">
        <f t="shared" si="5"/>
        <v>0</v>
      </c>
    </row>
    <row r="160" spans="9:19" x14ac:dyDescent="0.2">
      <c r="P160" s="32"/>
      <c r="Q160" s="33"/>
      <c r="R160" s="28" t="b">
        <f t="shared" si="4"/>
        <v>0</v>
      </c>
      <c r="S160" s="28" t="b">
        <f t="shared" si="5"/>
        <v>0</v>
      </c>
    </row>
    <row r="161" spans="16:19" x14ac:dyDescent="0.2">
      <c r="P161" s="32"/>
      <c r="Q161" s="33"/>
      <c r="R161" s="28" t="b">
        <f t="shared" si="4"/>
        <v>0</v>
      </c>
      <c r="S161" s="28" t="b">
        <f t="shared" si="5"/>
        <v>0</v>
      </c>
    </row>
    <row r="162" spans="16:19" x14ac:dyDescent="0.2">
      <c r="P162" s="32"/>
      <c r="Q162" s="33"/>
      <c r="R162" s="28" t="b">
        <f t="shared" si="4"/>
        <v>0</v>
      </c>
      <c r="S162" s="28" t="b">
        <f t="shared" si="5"/>
        <v>0</v>
      </c>
    </row>
    <row r="163" spans="16:19" x14ac:dyDescent="0.2">
      <c r="P163" s="32"/>
      <c r="Q163" s="33"/>
      <c r="R163" s="28" t="b">
        <f t="shared" si="4"/>
        <v>0</v>
      </c>
      <c r="S163" s="28" t="b">
        <f t="shared" si="5"/>
        <v>0</v>
      </c>
    </row>
    <row r="164" spans="16:19" x14ac:dyDescent="0.2">
      <c r="P164" s="32"/>
      <c r="Q164" s="33"/>
      <c r="R164" s="28" t="b">
        <f t="shared" si="4"/>
        <v>0</v>
      </c>
      <c r="S164" s="28" t="b">
        <f t="shared" si="5"/>
        <v>0</v>
      </c>
    </row>
    <row r="165" spans="16:19" x14ac:dyDescent="0.2">
      <c r="P165" s="32"/>
      <c r="Q165" s="33"/>
      <c r="R165" s="28" t="b">
        <f t="shared" si="4"/>
        <v>0</v>
      </c>
      <c r="S165" s="28" t="b">
        <f t="shared" si="5"/>
        <v>0</v>
      </c>
    </row>
    <row r="166" spans="16:19" x14ac:dyDescent="0.2">
      <c r="P166" s="32"/>
      <c r="Q166" s="33"/>
      <c r="R166" s="28" t="b">
        <f t="shared" si="4"/>
        <v>0</v>
      </c>
      <c r="S166" s="28" t="b">
        <f t="shared" si="5"/>
        <v>0</v>
      </c>
    </row>
    <row r="167" spans="16:19" x14ac:dyDescent="0.2">
      <c r="P167" s="32"/>
      <c r="Q167" s="33"/>
      <c r="R167" s="28" t="b">
        <f t="shared" si="4"/>
        <v>0</v>
      </c>
      <c r="S167" s="28" t="b">
        <f t="shared" si="5"/>
        <v>0</v>
      </c>
    </row>
    <row r="168" spans="16:19" x14ac:dyDescent="0.2">
      <c r="P168" s="32"/>
      <c r="Q168" s="33"/>
      <c r="R168" s="28" t="b">
        <f t="shared" si="4"/>
        <v>0</v>
      </c>
      <c r="S168" s="28" t="b">
        <f t="shared" si="5"/>
        <v>0</v>
      </c>
    </row>
    <row r="169" spans="16:19" x14ac:dyDescent="0.2">
      <c r="P169" s="32"/>
      <c r="Q169" s="33"/>
      <c r="R169" s="28" t="b">
        <f t="shared" si="4"/>
        <v>0</v>
      </c>
      <c r="S169" s="28" t="b">
        <f t="shared" si="5"/>
        <v>0</v>
      </c>
    </row>
    <row r="170" spans="16:19" x14ac:dyDescent="0.2">
      <c r="P170" s="32"/>
      <c r="Q170" s="33"/>
      <c r="R170" s="28" t="b">
        <f t="shared" si="4"/>
        <v>0</v>
      </c>
      <c r="S170" s="28" t="b">
        <f t="shared" si="5"/>
        <v>0</v>
      </c>
    </row>
    <row r="171" spans="16:19" x14ac:dyDescent="0.2">
      <c r="P171" s="32"/>
      <c r="Q171" s="33"/>
      <c r="R171" s="28" t="b">
        <f t="shared" si="4"/>
        <v>0</v>
      </c>
      <c r="S171" s="28" t="b">
        <f t="shared" si="5"/>
        <v>0</v>
      </c>
    </row>
    <row r="172" spans="16:19" x14ac:dyDescent="0.2">
      <c r="P172" s="32"/>
      <c r="Q172" s="33"/>
      <c r="R172" s="28" t="b">
        <f t="shared" si="4"/>
        <v>0</v>
      </c>
      <c r="S172" s="28" t="b">
        <f t="shared" si="5"/>
        <v>0</v>
      </c>
    </row>
    <row r="173" spans="16:19" x14ac:dyDescent="0.2">
      <c r="P173" s="32"/>
      <c r="Q173" s="33"/>
      <c r="R173" s="28" t="b">
        <f t="shared" si="4"/>
        <v>0</v>
      </c>
      <c r="S173" s="28" t="b">
        <f t="shared" si="5"/>
        <v>0</v>
      </c>
    </row>
    <row r="174" spans="16:19" x14ac:dyDescent="0.2">
      <c r="P174" s="32"/>
      <c r="Q174" s="33"/>
      <c r="R174" s="28" t="b">
        <f t="shared" si="4"/>
        <v>0</v>
      </c>
      <c r="S174" s="28" t="b">
        <f t="shared" si="5"/>
        <v>0</v>
      </c>
    </row>
    <row r="175" spans="16:19" x14ac:dyDescent="0.2">
      <c r="P175" s="32"/>
      <c r="Q175" s="33"/>
      <c r="R175" s="28" t="b">
        <f t="shared" si="4"/>
        <v>0</v>
      </c>
      <c r="S175" s="28" t="b">
        <f t="shared" si="5"/>
        <v>0</v>
      </c>
    </row>
    <row r="176" spans="16:19" x14ac:dyDescent="0.2">
      <c r="P176" s="32"/>
      <c r="Q176" s="33"/>
      <c r="R176" s="28" t="b">
        <f t="shared" si="4"/>
        <v>0</v>
      </c>
      <c r="S176" s="28" t="b">
        <f t="shared" si="5"/>
        <v>0</v>
      </c>
    </row>
    <row r="177" spans="16:19" x14ac:dyDescent="0.2">
      <c r="P177" s="32"/>
      <c r="Q177" s="33"/>
      <c r="R177" s="28" t="b">
        <f t="shared" si="4"/>
        <v>0</v>
      </c>
      <c r="S177" s="28" t="b">
        <f t="shared" si="5"/>
        <v>0</v>
      </c>
    </row>
    <row r="178" spans="16:19" x14ac:dyDescent="0.2">
      <c r="P178" s="32"/>
      <c r="Q178" s="33"/>
      <c r="R178" s="28" t="b">
        <f t="shared" si="4"/>
        <v>0</v>
      </c>
      <c r="S178" s="28" t="b">
        <f t="shared" si="5"/>
        <v>0</v>
      </c>
    </row>
    <row r="179" spans="16:19" x14ac:dyDescent="0.2">
      <c r="P179" s="32"/>
      <c r="Q179" s="33"/>
      <c r="R179" s="28" t="b">
        <f t="shared" si="4"/>
        <v>0</v>
      </c>
      <c r="S179" s="28" t="b">
        <f t="shared" si="5"/>
        <v>0</v>
      </c>
    </row>
    <row r="180" spans="16:19" x14ac:dyDescent="0.2">
      <c r="P180" s="32"/>
      <c r="Q180" s="33"/>
      <c r="R180" s="28" t="b">
        <f t="shared" si="4"/>
        <v>0</v>
      </c>
      <c r="S180" s="28" t="b">
        <f t="shared" si="5"/>
        <v>0</v>
      </c>
    </row>
    <row r="181" spans="16:19" x14ac:dyDescent="0.2">
      <c r="P181" s="32"/>
      <c r="Q181" s="33"/>
      <c r="R181" s="28" t="b">
        <f t="shared" si="4"/>
        <v>0</v>
      </c>
      <c r="S181" s="28" t="b">
        <f t="shared" si="5"/>
        <v>0</v>
      </c>
    </row>
    <row r="182" spans="16:19" x14ac:dyDescent="0.2">
      <c r="P182" s="32"/>
      <c r="Q182" s="33"/>
      <c r="R182" s="28" t="b">
        <f t="shared" si="4"/>
        <v>0</v>
      </c>
      <c r="S182" s="28" t="b">
        <f t="shared" si="5"/>
        <v>0</v>
      </c>
    </row>
    <row r="183" spans="16:19" x14ac:dyDescent="0.2">
      <c r="P183" s="32"/>
      <c r="Q183" s="33"/>
      <c r="R183" s="28" t="b">
        <f t="shared" si="4"/>
        <v>0</v>
      </c>
      <c r="S183" s="28" t="b">
        <f t="shared" si="5"/>
        <v>0</v>
      </c>
    </row>
    <row r="184" spans="16:19" x14ac:dyDescent="0.2">
      <c r="P184" s="32"/>
      <c r="Q184" s="33"/>
      <c r="R184" s="28" t="b">
        <f t="shared" si="4"/>
        <v>0</v>
      </c>
      <c r="S184" s="28" t="b">
        <f t="shared" si="5"/>
        <v>0</v>
      </c>
    </row>
    <row r="185" spans="16:19" x14ac:dyDescent="0.2">
      <c r="P185" s="32"/>
      <c r="Q185" s="33"/>
      <c r="R185" s="28" t="b">
        <f t="shared" si="4"/>
        <v>0</v>
      </c>
      <c r="S185" s="28" t="b">
        <f t="shared" si="5"/>
        <v>0</v>
      </c>
    </row>
    <row r="186" spans="16:19" x14ac:dyDescent="0.2">
      <c r="P186" s="32"/>
      <c r="Q186" s="33"/>
      <c r="R186" s="28" t="b">
        <f t="shared" si="4"/>
        <v>0</v>
      </c>
      <c r="S186" s="28" t="b">
        <f t="shared" si="5"/>
        <v>0</v>
      </c>
    </row>
    <row r="187" spans="16:19" x14ac:dyDescent="0.2">
      <c r="P187" s="32"/>
      <c r="Q187" s="33"/>
      <c r="R187" s="28" t="b">
        <f t="shared" si="4"/>
        <v>0</v>
      </c>
      <c r="S187" s="28" t="b">
        <f t="shared" si="5"/>
        <v>0</v>
      </c>
    </row>
    <row r="188" spans="16:19" x14ac:dyDescent="0.2">
      <c r="P188" s="32"/>
      <c r="Q188" s="33"/>
      <c r="R188" s="28" t="b">
        <f t="shared" si="4"/>
        <v>0</v>
      </c>
      <c r="S188" s="28" t="b">
        <f t="shared" si="5"/>
        <v>0</v>
      </c>
    </row>
    <row r="189" spans="16:19" x14ac:dyDescent="0.2">
      <c r="P189" s="32"/>
      <c r="Q189" s="33"/>
      <c r="R189" s="28" t="b">
        <f t="shared" si="4"/>
        <v>0</v>
      </c>
      <c r="S189" s="28" t="b">
        <f t="shared" si="5"/>
        <v>0</v>
      </c>
    </row>
    <row r="190" spans="16:19" x14ac:dyDescent="0.2">
      <c r="P190" s="32"/>
      <c r="Q190" s="33"/>
      <c r="R190" s="28" t="b">
        <f t="shared" si="4"/>
        <v>0</v>
      </c>
      <c r="S190" s="28" t="b">
        <f t="shared" si="5"/>
        <v>0</v>
      </c>
    </row>
    <row r="191" spans="16:19" x14ac:dyDescent="0.2">
      <c r="P191" s="32"/>
      <c r="Q191" s="33"/>
      <c r="R191" s="28" t="b">
        <f t="shared" si="4"/>
        <v>0</v>
      </c>
      <c r="S191" s="28" t="b">
        <f t="shared" si="5"/>
        <v>0</v>
      </c>
    </row>
    <row r="192" spans="16:19" x14ac:dyDescent="0.2">
      <c r="P192" s="32"/>
      <c r="Q192" s="33"/>
      <c r="R192" s="28" t="b">
        <f t="shared" si="4"/>
        <v>0</v>
      </c>
      <c r="S192" s="28" t="b">
        <f t="shared" si="5"/>
        <v>0</v>
      </c>
    </row>
    <row r="193" spans="16:19" x14ac:dyDescent="0.2">
      <c r="P193" s="32"/>
      <c r="Q193" s="33"/>
      <c r="R193" s="28" t="b">
        <f t="shared" si="4"/>
        <v>0</v>
      </c>
      <c r="S193" s="28" t="b">
        <f t="shared" si="5"/>
        <v>0</v>
      </c>
    </row>
    <row r="194" spans="16:19" x14ac:dyDescent="0.2">
      <c r="P194" s="32"/>
      <c r="Q194" s="33"/>
      <c r="R194" s="28" t="b">
        <f t="shared" si="4"/>
        <v>0</v>
      </c>
      <c r="S194" s="28" t="b">
        <f t="shared" si="5"/>
        <v>0</v>
      </c>
    </row>
    <row r="195" spans="16:19" x14ac:dyDescent="0.2">
      <c r="P195" s="32"/>
      <c r="Q195" s="33"/>
      <c r="R195" s="28" t="b">
        <f t="shared" si="4"/>
        <v>0</v>
      </c>
      <c r="S195" s="28" t="b">
        <f t="shared" si="5"/>
        <v>0</v>
      </c>
    </row>
    <row r="196" spans="16:19" x14ac:dyDescent="0.2">
      <c r="P196" s="32"/>
      <c r="Q196" s="33"/>
      <c r="R196" s="28" t="b">
        <f t="shared" ref="R196:R252" si="6">IF($P196&gt;0,$B$17+$B$18*$P196)</f>
        <v>0</v>
      </c>
      <c r="S196" s="28" t="b">
        <f t="shared" ref="S196:S252" si="7">IF($P196&gt;0,$Q196-$R196)</f>
        <v>0</v>
      </c>
    </row>
    <row r="197" spans="16:19" x14ac:dyDescent="0.2">
      <c r="P197" s="32"/>
      <c r="Q197" s="33"/>
      <c r="R197" s="28" t="b">
        <f t="shared" si="6"/>
        <v>0</v>
      </c>
      <c r="S197" s="28" t="b">
        <f t="shared" si="7"/>
        <v>0</v>
      </c>
    </row>
    <row r="198" spans="16:19" x14ac:dyDescent="0.2">
      <c r="P198" s="32"/>
      <c r="Q198" s="33"/>
      <c r="R198" s="28" t="b">
        <f t="shared" si="6"/>
        <v>0</v>
      </c>
      <c r="S198" s="28" t="b">
        <f t="shared" si="7"/>
        <v>0</v>
      </c>
    </row>
    <row r="199" spans="16:19" x14ac:dyDescent="0.2">
      <c r="P199" s="32"/>
      <c r="Q199" s="33"/>
      <c r="R199" s="28" t="b">
        <f t="shared" si="6"/>
        <v>0</v>
      </c>
      <c r="S199" s="28" t="b">
        <f t="shared" si="7"/>
        <v>0</v>
      </c>
    </row>
    <row r="200" spans="16:19" x14ac:dyDescent="0.2">
      <c r="P200" s="32"/>
      <c r="Q200" s="33"/>
      <c r="R200" s="28" t="b">
        <f t="shared" si="6"/>
        <v>0</v>
      </c>
      <c r="S200" s="28" t="b">
        <f t="shared" si="7"/>
        <v>0</v>
      </c>
    </row>
    <row r="201" spans="16:19" x14ac:dyDescent="0.2">
      <c r="P201" s="32"/>
      <c r="Q201" s="33"/>
      <c r="R201" s="28" t="b">
        <f t="shared" si="6"/>
        <v>0</v>
      </c>
      <c r="S201" s="28" t="b">
        <f t="shared" si="7"/>
        <v>0</v>
      </c>
    </row>
    <row r="202" spans="16:19" x14ac:dyDescent="0.2">
      <c r="P202" s="32"/>
      <c r="Q202" s="33"/>
      <c r="R202" s="28" t="b">
        <f t="shared" si="6"/>
        <v>0</v>
      </c>
      <c r="S202" s="28" t="b">
        <f t="shared" si="7"/>
        <v>0</v>
      </c>
    </row>
    <row r="203" spans="16:19" x14ac:dyDescent="0.2">
      <c r="P203" s="32"/>
      <c r="Q203" s="33"/>
      <c r="R203" s="28" t="b">
        <f t="shared" si="6"/>
        <v>0</v>
      </c>
      <c r="S203" s="28" t="b">
        <f t="shared" si="7"/>
        <v>0</v>
      </c>
    </row>
    <row r="204" spans="16:19" x14ac:dyDescent="0.2">
      <c r="P204" s="32"/>
      <c r="Q204" s="33"/>
      <c r="R204" s="28" t="b">
        <f t="shared" si="6"/>
        <v>0</v>
      </c>
      <c r="S204" s="28" t="b">
        <f t="shared" si="7"/>
        <v>0</v>
      </c>
    </row>
    <row r="205" spans="16:19" x14ac:dyDescent="0.2">
      <c r="P205" s="32"/>
      <c r="Q205" s="33"/>
      <c r="R205" s="28" t="b">
        <f t="shared" si="6"/>
        <v>0</v>
      </c>
      <c r="S205" s="28" t="b">
        <f t="shared" si="7"/>
        <v>0</v>
      </c>
    </row>
    <row r="206" spans="16:19" x14ac:dyDescent="0.2">
      <c r="P206" s="32"/>
      <c r="Q206" s="33"/>
      <c r="R206" s="28" t="b">
        <f t="shared" si="6"/>
        <v>0</v>
      </c>
      <c r="S206" s="28" t="b">
        <f t="shared" si="7"/>
        <v>0</v>
      </c>
    </row>
    <row r="207" spans="16:19" x14ac:dyDescent="0.2">
      <c r="P207" s="32"/>
      <c r="Q207" s="33"/>
      <c r="R207" s="28" t="b">
        <f t="shared" si="6"/>
        <v>0</v>
      </c>
      <c r="S207" s="28" t="b">
        <f t="shared" si="7"/>
        <v>0</v>
      </c>
    </row>
    <row r="208" spans="16:19" x14ac:dyDescent="0.2">
      <c r="P208" s="32"/>
      <c r="Q208" s="33"/>
      <c r="R208" s="28" t="b">
        <f t="shared" si="6"/>
        <v>0</v>
      </c>
      <c r="S208" s="28" t="b">
        <f t="shared" si="7"/>
        <v>0</v>
      </c>
    </row>
    <row r="209" spans="16:19" x14ac:dyDescent="0.2">
      <c r="P209" s="32"/>
      <c r="Q209" s="33"/>
      <c r="R209" s="28" t="b">
        <f t="shared" si="6"/>
        <v>0</v>
      </c>
      <c r="S209" s="28" t="b">
        <f t="shared" si="7"/>
        <v>0</v>
      </c>
    </row>
    <row r="210" spans="16:19" x14ac:dyDescent="0.2">
      <c r="P210" s="32"/>
      <c r="Q210" s="33"/>
      <c r="R210" s="28" t="b">
        <f t="shared" si="6"/>
        <v>0</v>
      </c>
      <c r="S210" s="28" t="b">
        <f t="shared" si="7"/>
        <v>0</v>
      </c>
    </row>
    <row r="211" spans="16:19" x14ac:dyDescent="0.2">
      <c r="P211" s="32"/>
      <c r="Q211" s="33"/>
      <c r="R211" s="28" t="b">
        <f t="shared" si="6"/>
        <v>0</v>
      </c>
      <c r="S211" s="28" t="b">
        <f t="shared" si="7"/>
        <v>0</v>
      </c>
    </row>
    <row r="212" spans="16:19" x14ac:dyDescent="0.2">
      <c r="P212" s="32"/>
      <c r="Q212" s="33"/>
      <c r="R212" s="28" t="b">
        <f t="shared" si="6"/>
        <v>0</v>
      </c>
      <c r="S212" s="28" t="b">
        <f t="shared" si="7"/>
        <v>0</v>
      </c>
    </row>
    <row r="213" spans="16:19" x14ac:dyDescent="0.2">
      <c r="P213" s="32"/>
      <c r="Q213" s="33"/>
      <c r="R213" s="28" t="b">
        <f t="shared" si="6"/>
        <v>0</v>
      </c>
      <c r="S213" s="28" t="b">
        <f t="shared" si="7"/>
        <v>0</v>
      </c>
    </row>
    <row r="214" spans="16:19" x14ac:dyDescent="0.2">
      <c r="P214" s="32"/>
      <c r="Q214" s="33"/>
      <c r="R214" s="28" t="b">
        <f t="shared" si="6"/>
        <v>0</v>
      </c>
      <c r="S214" s="28" t="b">
        <f t="shared" si="7"/>
        <v>0</v>
      </c>
    </row>
    <row r="215" spans="16:19" x14ac:dyDescent="0.2">
      <c r="P215" s="32"/>
      <c r="Q215" s="33"/>
      <c r="R215" s="28" t="b">
        <f t="shared" si="6"/>
        <v>0</v>
      </c>
      <c r="S215" s="28" t="b">
        <f t="shared" si="7"/>
        <v>0</v>
      </c>
    </row>
    <row r="216" spans="16:19" x14ac:dyDescent="0.2">
      <c r="P216" s="32"/>
      <c r="Q216" s="33"/>
      <c r="R216" s="28" t="b">
        <f t="shared" si="6"/>
        <v>0</v>
      </c>
      <c r="S216" s="28" t="b">
        <f t="shared" si="7"/>
        <v>0</v>
      </c>
    </row>
    <row r="217" spans="16:19" x14ac:dyDescent="0.2">
      <c r="P217" s="32"/>
      <c r="Q217" s="33"/>
      <c r="R217" s="28" t="b">
        <f t="shared" si="6"/>
        <v>0</v>
      </c>
      <c r="S217" s="28" t="b">
        <f t="shared" si="7"/>
        <v>0</v>
      </c>
    </row>
    <row r="218" spans="16:19" x14ac:dyDescent="0.2">
      <c r="P218" s="32"/>
      <c r="Q218" s="33"/>
      <c r="R218" s="28" t="b">
        <f t="shared" si="6"/>
        <v>0</v>
      </c>
      <c r="S218" s="28" t="b">
        <f t="shared" si="7"/>
        <v>0</v>
      </c>
    </row>
    <row r="219" spans="16:19" x14ac:dyDescent="0.2">
      <c r="P219" s="32"/>
      <c r="Q219" s="33"/>
      <c r="R219" s="28" t="b">
        <f t="shared" si="6"/>
        <v>0</v>
      </c>
      <c r="S219" s="28" t="b">
        <f t="shared" si="7"/>
        <v>0</v>
      </c>
    </row>
    <row r="220" spans="16:19" x14ac:dyDescent="0.2">
      <c r="P220" s="32"/>
      <c r="Q220" s="33"/>
      <c r="R220" s="28" t="b">
        <f t="shared" si="6"/>
        <v>0</v>
      </c>
      <c r="S220" s="28" t="b">
        <f t="shared" si="7"/>
        <v>0</v>
      </c>
    </row>
    <row r="221" spans="16:19" x14ac:dyDescent="0.2">
      <c r="P221" s="32"/>
      <c r="Q221" s="33"/>
      <c r="R221" s="28" t="b">
        <f t="shared" si="6"/>
        <v>0</v>
      </c>
      <c r="S221" s="28" t="b">
        <f t="shared" si="7"/>
        <v>0</v>
      </c>
    </row>
    <row r="222" spans="16:19" x14ac:dyDescent="0.2">
      <c r="P222" s="32"/>
      <c r="Q222" s="33"/>
      <c r="R222" s="28" t="b">
        <f t="shared" si="6"/>
        <v>0</v>
      </c>
      <c r="S222" s="28" t="b">
        <f t="shared" si="7"/>
        <v>0</v>
      </c>
    </row>
    <row r="223" spans="16:19" x14ac:dyDescent="0.2">
      <c r="P223" s="32"/>
      <c r="Q223" s="33"/>
      <c r="R223" s="28" t="b">
        <f t="shared" si="6"/>
        <v>0</v>
      </c>
      <c r="S223" s="28" t="b">
        <f t="shared" si="7"/>
        <v>0</v>
      </c>
    </row>
    <row r="224" spans="16:19" x14ac:dyDescent="0.2">
      <c r="P224" s="32"/>
      <c r="Q224" s="33"/>
      <c r="R224" s="28" t="b">
        <f t="shared" si="6"/>
        <v>0</v>
      </c>
      <c r="S224" s="28" t="b">
        <f t="shared" si="7"/>
        <v>0</v>
      </c>
    </row>
    <row r="225" spans="16:19" x14ac:dyDescent="0.2">
      <c r="P225" s="32"/>
      <c r="Q225" s="33"/>
      <c r="R225" s="28" t="b">
        <f t="shared" si="6"/>
        <v>0</v>
      </c>
      <c r="S225" s="28" t="b">
        <f t="shared" si="7"/>
        <v>0</v>
      </c>
    </row>
    <row r="226" spans="16:19" x14ac:dyDescent="0.2">
      <c r="P226" s="32"/>
      <c r="Q226" s="33"/>
      <c r="R226" s="28" t="b">
        <f t="shared" si="6"/>
        <v>0</v>
      </c>
      <c r="S226" s="28" t="b">
        <f t="shared" si="7"/>
        <v>0</v>
      </c>
    </row>
    <row r="227" spans="16:19" x14ac:dyDescent="0.2">
      <c r="P227" s="32"/>
      <c r="Q227" s="33"/>
      <c r="R227" s="28" t="b">
        <f t="shared" si="6"/>
        <v>0</v>
      </c>
      <c r="S227" s="28" t="b">
        <f t="shared" si="7"/>
        <v>0</v>
      </c>
    </row>
    <row r="228" spans="16:19" x14ac:dyDescent="0.2">
      <c r="P228" s="32"/>
      <c r="Q228" s="33"/>
      <c r="R228" s="28" t="b">
        <f t="shared" si="6"/>
        <v>0</v>
      </c>
      <c r="S228" s="28" t="b">
        <f t="shared" si="7"/>
        <v>0</v>
      </c>
    </row>
    <row r="229" spans="16:19" x14ac:dyDescent="0.2">
      <c r="P229" s="32"/>
      <c r="Q229" s="33"/>
      <c r="R229" s="28" t="b">
        <f t="shared" si="6"/>
        <v>0</v>
      </c>
      <c r="S229" s="28" t="b">
        <f t="shared" si="7"/>
        <v>0</v>
      </c>
    </row>
    <row r="230" spans="16:19" x14ac:dyDescent="0.2">
      <c r="P230" s="32"/>
      <c r="Q230" s="33"/>
      <c r="R230" s="28" t="b">
        <f t="shared" si="6"/>
        <v>0</v>
      </c>
      <c r="S230" s="28" t="b">
        <f t="shared" si="7"/>
        <v>0</v>
      </c>
    </row>
    <row r="231" spans="16:19" x14ac:dyDescent="0.2">
      <c r="P231" s="32"/>
      <c r="Q231" s="33"/>
      <c r="R231" s="28" t="b">
        <f t="shared" si="6"/>
        <v>0</v>
      </c>
      <c r="S231" s="28" t="b">
        <f t="shared" si="7"/>
        <v>0</v>
      </c>
    </row>
    <row r="232" spans="16:19" x14ac:dyDescent="0.2">
      <c r="P232" s="32"/>
      <c r="Q232" s="33"/>
      <c r="R232" s="28" t="b">
        <f t="shared" si="6"/>
        <v>0</v>
      </c>
      <c r="S232" s="28" t="b">
        <f t="shared" si="7"/>
        <v>0</v>
      </c>
    </row>
    <row r="233" spans="16:19" x14ac:dyDescent="0.2">
      <c r="P233" s="32"/>
      <c r="Q233" s="33"/>
      <c r="R233" s="28" t="b">
        <f t="shared" si="6"/>
        <v>0</v>
      </c>
      <c r="S233" s="28" t="b">
        <f t="shared" si="7"/>
        <v>0</v>
      </c>
    </row>
    <row r="234" spans="16:19" x14ac:dyDescent="0.2">
      <c r="P234" s="32"/>
      <c r="Q234" s="33"/>
      <c r="R234" s="28" t="b">
        <f t="shared" si="6"/>
        <v>0</v>
      </c>
      <c r="S234" s="28" t="b">
        <f t="shared" si="7"/>
        <v>0</v>
      </c>
    </row>
    <row r="235" spans="16:19" x14ac:dyDescent="0.2">
      <c r="P235" s="32"/>
      <c r="Q235" s="33"/>
      <c r="R235" s="28" t="b">
        <f t="shared" si="6"/>
        <v>0</v>
      </c>
      <c r="S235" s="28" t="b">
        <f t="shared" si="7"/>
        <v>0</v>
      </c>
    </row>
    <row r="236" spans="16:19" x14ac:dyDescent="0.2">
      <c r="P236" s="32"/>
      <c r="Q236" s="33"/>
      <c r="R236" s="28" t="b">
        <f t="shared" si="6"/>
        <v>0</v>
      </c>
      <c r="S236" s="28" t="b">
        <f t="shared" si="7"/>
        <v>0</v>
      </c>
    </row>
    <row r="237" spans="16:19" x14ac:dyDescent="0.2">
      <c r="P237" s="32"/>
      <c r="Q237" s="33"/>
      <c r="R237" s="28" t="b">
        <f t="shared" si="6"/>
        <v>0</v>
      </c>
      <c r="S237" s="28" t="b">
        <f t="shared" si="7"/>
        <v>0</v>
      </c>
    </row>
    <row r="238" spans="16:19" x14ac:dyDescent="0.2">
      <c r="P238" s="32"/>
      <c r="Q238" s="33"/>
      <c r="R238" s="28" t="b">
        <f t="shared" si="6"/>
        <v>0</v>
      </c>
      <c r="S238" s="28" t="b">
        <f t="shared" si="7"/>
        <v>0</v>
      </c>
    </row>
    <row r="239" spans="16:19" x14ac:dyDescent="0.2">
      <c r="P239" s="32"/>
      <c r="Q239" s="33"/>
      <c r="R239" s="28" t="b">
        <f t="shared" si="6"/>
        <v>0</v>
      </c>
      <c r="S239" s="28" t="b">
        <f t="shared" si="7"/>
        <v>0</v>
      </c>
    </row>
    <row r="240" spans="16:19" x14ac:dyDescent="0.2">
      <c r="P240" s="32"/>
      <c r="Q240" s="33"/>
      <c r="R240" s="28" t="b">
        <f t="shared" si="6"/>
        <v>0</v>
      </c>
      <c r="S240" s="28" t="b">
        <f t="shared" si="7"/>
        <v>0</v>
      </c>
    </row>
    <row r="241" spans="16:19" x14ac:dyDescent="0.2">
      <c r="P241" s="32"/>
      <c r="Q241" s="33"/>
      <c r="R241" s="28" t="b">
        <f t="shared" si="6"/>
        <v>0</v>
      </c>
      <c r="S241" s="28" t="b">
        <f t="shared" si="7"/>
        <v>0</v>
      </c>
    </row>
    <row r="242" spans="16:19" x14ac:dyDescent="0.2">
      <c r="P242" s="32"/>
      <c r="Q242" s="33"/>
      <c r="R242" s="28" t="b">
        <f t="shared" si="6"/>
        <v>0</v>
      </c>
      <c r="S242" s="28" t="b">
        <f t="shared" si="7"/>
        <v>0</v>
      </c>
    </row>
    <row r="243" spans="16:19" x14ac:dyDescent="0.2">
      <c r="P243" s="32"/>
      <c r="Q243" s="33"/>
      <c r="R243" s="28" t="b">
        <f t="shared" si="6"/>
        <v>0</v>
      </c>
      <c r="S243" s="28" t="b">
        <f t="shared" si="7"/>
        <v>0</v>
      </c>
    </row>
    <row r="244" spans="16:19" x14ac:dyDescent="0.2">
      <c r="P244" s="32"/>
      <c r="Q244" s="33"/>
      <c r="R244" s="28" t="b">
        <f t="shared" si="6"/>
        <v>0</v>
      </c>
      <c r="S244" s="28" t="b">
        <f t="shared" si="7"/>
        <v>0</v>
      </c>
    </row>
    <row r="245" spans="16:19" x14ac:dyDescent="0.2">
      <c r="P245" s="32"/>
      <c r="Q245" s="33"/>
      <c r="R245" s="28" t="b">
        <f t="shared" si="6"/>
        <v>0</v>
      </c>
      <c r="S245" s="28" t="b">
        <f t="shared" si="7"/>
        <v>0</v>
      </c>
    </row>
    <row r="246" spans="16:19" x14ac:dyDescent="0.2">
      <c r="P246" s="32"/>
      <c r="Q246" s="33"/>
      <c r="R246" s="28" t="b">
        <f t="shared" si="6"/>
        <v>0</v>
      </c>
      <c r="S246" s="28" t="b">
        <f t="shared" si="7"/>
        <v>0</v>
      </c>
    </row>
    <row r="247" spans="16:19" x14ac:dyDescent="0.2">
      <c r="P247" s="32"/>
      <c r="Q247" s="33"/>
      <c r="R247" s="28" t="b">
        <f t="shared" si="6"/>
        <v>0</v>
      </c>
      <c r="S247" s="28" t="b">
        <f t="shared" si="7"/>
        <v>0</v>
      </c>
    </row>
    <row r="248" spans="16:19" x14ac:dyDescent="0.2">
      <c r="P248" s="32"/>
      <c r="Q248" s="33"/>
      <c r="R248" s="28" t="b">
        <f t="shared" si="6"/>
        <v>0</v>
      </c>
      <c r="S248" s="28" t="b">
        <f t="shared" si="7"/>
        <v>0</v>
      </c>
    </row>
    <row r="249" spans="16:19" x14ac:dyDescent="0.2">
      <c r="P249" s="32"/>
      <c r="Q249" s="33"/>
      <c r="R249" s="28" t="b">
        <f t="shared" si="6"/>
        <v>0</v>
      </c>
      <c r="S249" s="28" t="b">
        <f t="shared" si="7"/>
        <v>0</v>
      </c>
    </row>
    <row r="250" spans="16:19" x14ac:dyDescent="0.2">
      <c r="P250" s="32"/>
      <c r="Q250" s="33"/>
      <c r="R250" s="28" t="b">
        <f t="shared" si="6"/>
        <v>0</v>
      </c>
      <c r="S250" s="28" t="b">
        <f t="shared" si="7"/>
        <v>0</v>
      </c>
    </row>
    <row r="251" spans="16:19" x14ac:dyDescent="0.2">
      <c r="P251" s="32"/>
      <c r="Q251" s="33"/>
      <c r="R251" s="28" t="b">
        <f t="shared" si="6"/>
        <v>0</v>
      </c>
      <c r="S251" s="28" t="b">
        <f t="shared" si="7"/>
        <v>0</v>
      </c>
    </row>
    <row r="252" spans="16:19" x14ac:dyDescent="0.2">
      <c r="P252" s="32"/>
      <c r="Q252" s="33"/>
      <c r="R252" s="28" t="b">
        <f t="shared" si="6"/>
        <v>0</v>
      </c>
      <c r="S252" s="28" t="b">
        <f t="shared" si="7"/>
        <v>0</v>
      </c>
    </row>
  </sheetData>
  <sheetProtection sheet="1" objects="1" scenarios="1" selectLockedCells="1"/>
  <mergeCells count="12">
    <mergeCell ref="A38:C38"/>
    <mergeCell ref="A1:B2"/>
    <mergeCell ref="C1:C2"/>
    <mergeCell ref="E1:G1"/>
    <mergeCell ref="B3:C3"/>
    <mergeCell ref="B4:C4"/>
    <mergeCell ref="A8:C8"/>
    <mergeCell ref="A15:C15"/>
    <mergeCell ref="A20:C20"/>
    <mergeCell ref="E26:G26"/>
    <mergeCell ref="A31:C31"/>
    <mergeCell ref="A34:C34"/>
  </mergeCells>
  <pageMargins left="0.39370078740157483" right="0.39370078740157483" top="0.82677165354330717" bottom="0.31496062992125984" header="0.19685039370078741" footer="0.11811023622047245"/>
  <pageSetup paperSize="9" scale="61"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2"/>
  <sheetViews>
    <sheetView zoomScale="75" workbookViewId="0">
      <selection activeCell="B32" sqref="B32"/>
    </sheetView>
  </sheetViews>
  <sheetFormatPr baseColWidth="10" defaultColWidth="11.5703125" defaultRowHeight="12.75" x14ac:dyDescent="0.2"/>
  <cols>
    <col min="1" max="1" width="25.7109375" style="1" customWidth="1"/>
    <col min="2" max="2" width="14.5703125" style="1" customWidth="1"/>
    <col min="3" max="3" width="21.28515625" style="1" customWidth="1"/>
    <col min="4" max="4" width="5.42578125" style="1" customWidth="1"/>
    <col min="5" max="5" width="11.5703125" style="1"/>
    <col min="6" max="6" width="17.5703125" style="1" customWidth="1"/>
    <col min="7" max="7" width="12.42578125" style="1" bestFit="1" customWidth="1"/>
    <col min="8" max="8" width="17.85546875" style="1" customWidth="1"/>
    <col min="9" max="9" width="11.5703125" style="1"/>
    <col min="10" max="10" width="15.140625" style="1" customWidth="1"/>
    <col min="11" max="11" width="12.42578125" style="1" bestFit="1" customWidth="1"/>
    <col min="12" max="12" width="14.42578125" style="1" customWidth="1"/>
    <col min="13" max="13" width="12.42578125" style="1" customWidth="1"/>
    <col min="14" max="14" width="14.7109375" style="1" customWidth="1"/>
    <col min="15" max="15" width="23.28515625" style="1" customWidth="1"/>
    <col min="16" max="16" width="12" style="1" customWidth="1"/>
    <col min="17" max="17" width="15.28515625" style="1" bestFit="1" customWidth="1"/>
    <col min="18" max="16384" width="11.5703125" style="1"/>
  </cols>
  <sheetData>
    <row r="1" spans="1:21" ht="15" customHeight="1" x14ac:dyDescent="0.25">
      <c r="A1" s="153" t="s">
        <v>147</v>
      </c>
      <c r="B1" s="153"/>
      <c r="C1" s="169"/>
      <c r="D1" s="19"/>
      <c r="E1" s="148" t="s">
        <v>91</v>
      </c>
      <c r="F1" s="148"/>
      <c r="G1" s="148"/>
      <c r="H1" s="19"/>
      <c r="I1" s="19"/>
      <c r="J1" s="19"/>
      <c r="K1" s="19"/>
      <c r="L1" s="19"/>
      <c r="M1" s="19"/>
      <c r="N1" s="35"/>
      <c r="O1" s="19"/>
    </row>
    <row r="2" spans="1:21" ht="15" customHeight="1" x14ac:dyDescent="0.2">
      <c r="A2" s="153"/>
      <c r="B2" s="153"/>
      <c r="C2" s="169"/>
      <c r="D2" s="19"/>
      <c r="E2" s="19"/>
      <c r="F2" s="19"/>
      <c r="G2" s="19"/>
      <c r="H2" s="19"/>
      <c r="I2" s="19"/>
      <c r="J2" s="19"/>
      <c r="K2" s="19"/>
      <c r="L2" s="19"/>
      <c r="M2" s="19"/>
      <c r="N2" s="35"/>
      <c r="O2" s="19"/>
      <c r="P2" s="120" t="s">
        <v>0</v>
      </c>
      <c r="Q2" s="120" t="s">
        <v>34</v>
      </c>
      <c r="R2" s="121" t="s">
        <v>57</v>
      </c>
      <c r="S2" s="121" t="s">
        <v>58</v>
      </c>
    </row>
    <row r="3" spans="1:21" ht="15" customHeight="1" x14ac:dyDescent="0.2">
      <c r="A3" s="117" t="s">
        <v>100</v>
      </c>
      <c r="B3" s="172">
        <f>pH!B3</f>
        <v>0</v>
      </c>
      <c r="C3" s="172"/>
      <c r="D3" s="19"/>
      <c r="E3" s="19"/>
      <c r="F3" s="19"/>
      <c r="G3" s="19"/>
      <c r="H3" s="36"/>
      <c r="I3" s="19"/>
      <c r="J3" s="19"/>
      <c r="K3" s="19"/>
      <c r="L3" s="19"/>
      <c r="M3" s="19"/>
      <c r="N3" s="19"/>
      <c r="O3" s="19"/>
      <c r="P3" s="32"/>
      <c r="Q3" s="33"/>
      <c r="R3" s="28" t="b">
        <f>IF($P3&gt;0,$B$17+$B$18*$P3)</f>
        <v>0</v>
      </c>
      <c r="S3" s="28" t="b">
        <f>IF($P3&gt;0,$Q3-$R3)</f>
        <v>0</v>
      </c>
    </row>
    <row r="4" spans="1:21" ht="15" customHeight="1" x14ac:dyDescent="0.2">
      <c r="A4" s="117" t="s">
        <v>101</v>
      </c>
      <c r="B4" s="170">
        <f>pH!B4</f>
        <v>0</v>
      </c>
      <c r="C4" s="171"/>
      <c r="D4" s="19"/>
      <c r="E4" s="19"/>
      <c r="F4" s="19"/>
      <c r="G4" s="19"/>
      <c r="H4" s="19"/>
      <c r="I4" s="19"/>
      <c r="J4" s="19"/>
      <c r="K4" s="19"/>
      <c r="L4" s="19"/>
      <c r="M4" s="19"/>
      <c r="N4" s="19"/>
      <c r="O4" s="19"/>
      <c r="P4" s="48"/>
      <c r="Q4" s="49"/>
      <c r="R4" s="28" t="b">
        <f t="shared" ref="R4:R67" si="0">IF($P4&gt;0,$B$17+$B$18*$P4)</f>
        <v>0</v>
      </c>
      <c r="S4" s="28" t="b">
        <f t="shared" ref="S4:S67" si="1">IF($P4&gt;0,$Q4-$R4)</f>
        <v>0</v>
      </c>
    </row>
    <row r="5" spans="1:21" ht="15" customHeight="1" x14ac:dyDescent="0.2">
      <c r="A5" s="130" t="s">
        <v>102</v>
      </c>
      <c r="B5" s="29"/>
      <c r="C5" s="19"/>
      <c r="D5" s="19"/>
      <c r="E5" s="19"/>
      <c r="F5" s="19"/>
      <c r="G5" s="19"/>
      <c r="H5" s="19"/>
      <c r="I5" s="19"/>
      <c r="J5" s="19"/>
      <c r="K5" s="19"/>
      <c r="L5" s="19"/>
      <c r="M5" s="19"/>
      <c r="N5" s="19"/>
      <c r="O5" s="19"/>
      <c r="P5" s="32"/>
      <c r="Q5" s="33"/>
      <c r="R5" s="28" t="b">
        <f t="shared" si="0"/>
        <v>0</v>
      </c>
      <c r="S5" s="28" t="b">
        <f t="shared" si="1"/>
        <v>0</v>
      </c>
    </row>
    <row r="6" spans="1:21" ht="15" customHeight="1" x14ac:dyDescent="0.2">
      <c r="A6" s="130" t="s">
        <v>18</v>
      </c>
      <c r="B6" s="34"/>
      <c r="C6" s="19"/>
      <c r="D6" s="19"/>
      <c r="E6" s="19"/>
      <c r="F6" s="19"/>
      <c r="G6" s="19"/>
      <c r="H6" s="19"/>
      <c r="I6" s="19"/>
      <c r="J6" s="19"/>
      <c r="K6" s="19"/>
      <c r="L6" s="19"/>
      <c r="M6" s="19"/>
      <c r="N6" s="19"/>
      <c r="O6" s="19"/>
      <c r="P6" s="32"/>
      <c r="Q6" s="33"/>
      <c r="R6" s="28" t="b">
        <f t="shared" si="0"/>
        <v>0</v>
      </c>
      <c r="S6" s="28" t="b">
        <f t="shared" si="1"/>
        <v>0</v>
      </c>
    </row>
    <row r="7" spans="1:21" ht="15" customHeight="1" x14ac:dyDescent="0.2">
      <c r="A7" s="26"/>
      <c r="B7" s="19"/>
      <c r="C7" s="19"/>
      <c r="D7" s="19"/>
      <c r="E7" s="19"/>
      <c r="F7" s="19"/>
      <c r="G7" s="36"/>
      <c r="H7" s="19"/>
      <c r="I7" s="19"/>
      <c r="J7" s="19"/>
      <c r="K7" s="19"/>
      <c r="L7" s="19"/>
      <c r="M7" s="19"/>
      <c r="N7" s="19"/>
      <c r="O7" s="19"/>
      <c r="P7" s="32"/>
      <c r="Q7" s="33"/>
      <c r="R7" s="28" t="b">
        <f t="shared" si="0"/>
        <v>0</v>
      </c>
      <c r="S7" s="28" t="b">
        <f t="shared" si="1"/>
        <v>0</v>
      </c>
    </row>
    <row r="8" spans="1:21" ht="15" customHeight="1" x14ac:dyDescent="0.25">
      <c r="A8" s="144" t="s">
        <v>12</v>
      </c>
      <c r="B8" s="144"/>
      <c r="C8" s="144"/>
      <c r="D8" s="19"/>
      <c r="E8" s="19"/>
      <c r="F8" s="19"/>
      <c r="G8" s="19"/>
      <c r="H8" s="19"/>
      <c r="I8" s="19"/>
      <c r="J8" s="19"/>
      <c r="K8" s="19"/>
      <c r="L8" s="19"/>
      <c r="M8" s="19"/>
      <c r="N8" s="19"/>
      <c r="O8" s="19"/>
      <c r="P8" s="32"/>
      <c r="Q8" s="33"/>
      <c r="R8" s="28" t="b">
        <f t="shared" si="0"/>
        <v>0</v>
      </c>
      <c r="S8" s="28" t="b">
        <f t="shared" si="1"/>
        <v>0</v>
      </c>
    </row>
    <row r="9" spans="1:21" ht="15" customHeight="1" x14ac:dyDescent="0.2">
      <c r="A9" s="117" t="s">
        <v>11</v>
      </c>
      <c r="B9" s="20">
        <f>COUNT($Q3:$Q252)</f>
        <v>0</v>
      </c>
      <c r="C9" s="50"/>
      <c r="D9" s="19"/>
      <c r="E9" s="19"/>
      <c r="F9" s="19"/>
      <c r="G9" s="19"/>
      <c r="H9" s="19"/>
      <c r="I9" s="19"/>
      <c r="J9" s="19"/>
      <c r="K9" s="19"/>
      <c r="L9" s="19"/>
      <c r="M9" s="19"/>
      <c r="N9" s="19"/>
      <c r="O9" s="19"/>
      <c r="P9" s="32"/>
      <c r="Q9" s="33"/>
      <c r="R9" s="28" t="b">
        <f t="shared" si="0"/>
        <v>0</v>
      </c>
      <c r="S9" s="28" t="b">
        <f t="shared" si="1"/>
        <v>0</v>
      </c>
    </row>
    <row r="10" spans="1:21" ht="15" customHeight="1" x14ac:dyDescent="0.2">
      <c r="A10" s="117" t="s">
        <v>7</v>
      </c>
      <c r="B10" s="21">
        <f>MIN($Q3:$Q252)</f>
        <v>0</v>
      </c>
      <c r="C10" s="50"/>
      <c r="D10" s="19"/>
      <c r="E10" s="19"/>
      <c r="F10" s="19"/>
      <c r="G10" s="19"/>
      <c r="H10" s="19"/>
      <c r="I10" s="19"/>
      <c r="J10" s="19"/>
      <c r="K10" s="19"/>
      <c r="L10" s="19"/>
      <c r="M10" s="19"/>
      <c r="N10" s="19"/>
      <c r="O10" s="19"/>
      <c r="P10" s="32"/>
      <c r="Q10" s="33"/>
      <c r="R10" s="28" t="b">
        <f t="shared" si="0"/>
        <v>0</v>
      </c>
      <c r="S10" s="28" t="b">
        <f t="shared" si="1"/>
        <v>0</v>
      </c>
    </row>
    <row r="11" spans="1:21" ht="15" customHeight="1" x14ac:dyDescent="0.2">
      <c r="A11" s="117" t="s">
        <v>8</v>
      </c>
      <c r="B11" s="21">
        <f>MAX($Q3:$Q252)</f>
        <v>0</v>
      </c>
      <c r="C11" s="50"/>
      <c r="D11" s="19"/>
      <c r="E11" s="19"/>
      <c r="F11" s="19"/>
      <c r="G11" s="19"/>
      <c r="H11" s="19"/>
      <c r="I11" s="19"/>
      <c r="J11" s="19"/>
      <c r="K11" s="19"/>
      <c r="L11" s="19"/>
      <c r="M11" s="19"/>
      <c r="N11" s="19"/>
      <c r="O11" s="19"/>
      <c r="P11" s="32"/>
      <c r="Q11" s="33"/>
      <c r="R11" s="28" t="b">
        <f t="shared" si="0"/>
        <v>0</v>
      </c>
      <c r="S11" s="28" t="b">
        <f t="shared" si="1"/>
        <v>0</v>
      </c>
      <c r="U11" s="3"/>
    </row>
    <row r="12" spans="1:21" ht="15" customHeight="1" x14ac:dyDescent="0.2">
      <c r="A12" s="117" t="s">
        <v>68</v>
      </c>
      <c r="B12" s="21" t="e">
        <f>MEDIAN($Q3:$Q252)</f>
        <v>#NUM!</v>
      </c>
      <c r="C12" s="50"/>
      <c r="D12" s="19"/>
      <c r="E12" s="19"/>
      <c r="F12" s="19"/>
      <c r="G12" s="19"/>
      <c r="H12" s="19"/>
      <c r="I12" s="19"/>
      <c r="J12" s="19"/>
      <c r="K12" s="19"/>
      <c r="L12" s="19"/>
      <c r="M12" s="19"/>
      <c r="N12" s="19"/>
      <c r="O12" s="19"/>
      <c r="P12" s="32"/>
      <c r="Q12" s="33"/>
      <c r="R12" s="28" t="b">
        <f t="shared" si="0"/>
        <v>0</v>
      </c>
      <c r="S12" s="28" t="b">
        <f t="shared" si="1"/>
        <v>0</v>
      </c>
    </row>
    <row r="13" spans="1:21" ht="15" customHeight="1" x14ac:dyDescent="0.2">
      <c r="A13" s="117" t="s">
        <v>69</v>
      </c>
      <c r="B13" s="20" t="e">
        <f>IF(ABS($B$16)&gt;$J$58,"&gt; 99%",IF(ABS($B$16)&gt;$I$58,"&gt; 95%","nicht signifikant"))</f>
        <v>#DIV/0!</v>
      </c>
      <c r="C13" s="50"/>
      <c r="D13" s="19"/>
      <c r="E13" s="19"/>
      <c r="F13" s="19"/>
      <c r="G13" s="19"/>
      <c r="H13" s="19"/>
      <c r="I13" s="19"/>
      <c r="J13" s="36"/>
      <c r="K13" s="19"/>
      <c r="L13" s="19"/>
      <c r="M13" s="19"/>
      <c r="N13" s="19"/>
      <c r="O13" s="19"/>
      <c r="P13" s="32"/>
      <c r="Q13" s="33"/>
      <c r="R13" s="28" t="b">
        <f t="shared" si="0"/>
        <v>0</v>
      </c>
      <c r="S13" s="28" t="b">
        <f t="shared" si="1"/>
        <v>0</v>
      </c>
    </row>
    <row r="14" spans="1:21" ht="15" customHeight="1" x14ac:dyDescent="0.2">
      <c r="A14" s="26"/>
      <c r="B14" s="26"/>
      <c r="C14" s="26"/>
      <c r="D14" s="19"/>
      <c r="E14" s="19"/>
      <c r="F14" s="19"/>
      <c r="G14" s="19"/>
      <c r="H14" s="19"/>
      <c r="I14" s="19"/>
      <c r="J14" s="19"/>
      <c r="K14" s="19"/>
      <c r="L14" s="19"/>
      <c r="M14" s="19"/>
      <c r="N14" s="19"/>
      <c r="O14" s="19"/>
      <c r="P14" s="32"/>
      <c r="Q14" s="33"/>
      <c r="R14" s="28" t="b">
        <f t="shared" si="0"/>
        <v>0</v>
      </c>
      <c r="S14" s="28" t="b">
        <f t="shared" si="1"/>
        <v>0</v>
      </c>
    </row>
    <row r="15" spans="1:21" ht="15" customHeight="1" x14ac:dyDescent="0.25">
      <c r="A15" s="144" t="s">
        <v>42</v>
      </c>
      <c r="B15" s="144"/>
      <c r="C15" s="144"/>
      <c r="D15" s="19"/>
      <c r="E15" s="19"/>
      <c r="F15" s="19"/>
      <c r="G15" s="19"/>
      <c r="H15" s="19"/>
      <c r="I15" s="19"/>
      <c r="J15" s="19"/>
      <c r="K15" s="19"/>
      <c r="L15" s="19"/>
      <c r="M15" s="19"/>
      <c r="N15" s="19"/>
      <c r="O15" s="19"/>
      <c r="P15" s="32"/>
      <c r="Q15" s="33"/>
      <c r="R15" s="28" t="b">
        <f t="shared" si="0"/>
        <v>0</v>
      </c>
      <c r="S15" s="28" t="b">
        <f t="shared" si="1"/>
        <v>0</v>
      </c>
    </row>
    <row r="16" spans="1:21" ht="15" customHeight="1" x14ac:dyDescent="0.2">
      <c r="A16" s="118" t="s">
        <v>83</v>
      </c>
      <c r="B16" s="22" t="e">
        <f>CORREL($Q$3:$Q$252,$P$3:$P$252)</f>
        <v>#DIV/0!</v>
      </c>
      <c r="C16" s="50"/>
      <c r="D16" s="19"/>
      <c r="E16" s="19"/>
      <c r="F16" s="19"/>
      <c r="G16" s="19"/>
      <c r="H16" s="19"/>
      <c r="I16" s="19"/>
      <c r="J16" s="19"/>
      <c r="K16" s="19"/>
      <c r="L16" s="19"/>
      <c r="M16" s="19"/>
      <c r="N16" s="19"/>
      <c r="O16" s="19"/>
      <c r="P16" s="32"/>
      <c r="Q16" s="33"/>
      <c r="R16" s="28" t="b">
        <f t="shared" si="0"/>
        <v>0</v>
      </c>
      <c r="S16" s="28" t="b">
        <f t="shared" si="1"/>
        <v>0</v>
      </c>
    </row>
    <row r="17" spans="1:19" ht="15" customHeight="1" x14ac:dyDescent="0.2">
      <c r="A17" s="118" t="s">
        <v>84</v>
      </c>
      <c r="B17" s="22" t="e">
        <f>INTERCEPT($Q$3:$Q$252,$P$3:$P$252)</f>
        <v>#DIV/0!</v>
      </c>
      <c r="C17" s="50"/>
      <c r="D17" s="19"/>
      <c r="E17" s="19"/>
      <c r="F17" s="19"/>
      <c r="G17" s="19"/>
      <c r="H17" s="19"/>
      <c r="I17" s="19"/>
      <c r="J17" s="19"/>
      <c r="K17" s="19"/>
      <c r="L17" s="19"/>
      <c r="M17" s="19"/>
      <c r="N17" s="19"/>
      <c r="O17" s="19"/>
      <c r="P17" s="32"/>
      <c r="Q17" s="33"/>
      <c r="R17" s="28" t="b">
        <f t="shared" si="0"/>
        <v>0</v>
      </c>
      <c r="S17" s="28" t="b">
        <f t="shared" si="1"/>
        <v>0</v>
      </c>
    </row>
    <row r="18" spans="1:19" ht="15" customHeight="1" x14ac:dyDescent="0.2">
      <c r="A18" s="118" t="s">
        <v>39</v>
      </c>
      <c r="B18" s="22" t="e">
        <f>SLOPE($Q$3:$Q$252,$P$3:$P$252)</f>
        <v>#DIV/0!</v>
      </c>
      <c r="C18" s="50"/>
      <c r="D18" s="19"/>
      <c r="E18" s="19"/>
      <c r="F18" s="19"/>
      <c r="G18" s="19"/>
      <c r="H18" s="19"/>
      <c r="I18" s="19"/>
      <c r="J18" s="37"/>
      <c r="K18" s="19"/>
      <c r="L18" s="19"/>
      <c r="M18" s="19"/>
      <c r="N18" s="19"/>
      <c r="O18" s="19"/>
      <c r="P18" s="32"/>
      <c r="Q18" s="33"/>
      <c r="R18" s="28" t="b">
        <f t="shared" si="0"/>
        <v>0</v>
      </c>
      <c r="S18" s="28" t="b">
        <f t="shared" si="1"/>
        <v>0</v>
      </c>
    </row>
    <row r="19" spans="1:19" ht="15" customHeight="1" x14ac:dyDescent="0.2">
      <c r="A19" s="26"/>
      <c r="B19" s="26"/>
      <c r="C19" s="26"/>
      <c r="D19" s="19"/>
      <c r="E19" s="19"/>
      <c r="F19" s="19"/>
      <c r="G19" s="19"/>
      <c r="H19" s="19"/>
      <c r="I19" s="19"/>
      <c r="J19" s="19"/>
      <c r="K19" s="19"/>
      <c r="L19" s="19"/>
      <c r="M19" s="19"/>
      <c r="N19" s="19"/>
      <c r="O19" s="19"/>
      <c r="P19" s="32"/>
      <c r="Q19" s="33"/>
      <c r="R19" s="28" t="b">
        <f t="shared" si="0"/>
        <v>0</v>
      </c>
      <c r="S19" s="28" t="b">
        <f t="shared" si="1"/>
        <v>0</v>
      </c>
    </row>
    <row r="20" spans="1:19" ht="15" customHeight="1" x14ac:dyDescent="0.25">
      <c r="A20" s="144" t="s">
        <v>63</v>
      </c>
      <c r="B20" s="144"/>
      <c r="C20" s="144"/>
      <c r="D20" s="19"/>
      <c r="E20" s="19"/>
      <c r="F20" s="19"/>
      <c r="G20" s="19"/>
      <c r="H20" s="19"/>
      <c r="I20" s="35"/>
      <c r="J20" s="19"/>
      <c r="K20" s="38"/>
      <c r="L20" s="19"/>
      <c r="M20" s="19"/>
      <c r="N20" s="19"/>
      <c r="O20" s="19"/>
      <c r="P20" s="32"/>
      <c r="Q20" s="33"/>
      <c r="R20" s="28" t="b">
        <f t="shared" si="0"/>
        <v>0</v>
      </c>
      <c r="S20" s="28" t="b">
        <f t="shared" si="1"/>
        <v>0</v>
      </c>
    </row>
    <row r="21" spans="1:19" ht="15" customHeight="1" x14ac:dyDescent="0.2">
      <c r="A21" s="117" t="s">
        <v>7</v>
      </c>
      <c r="B21" s="21">
        <f>MIN($S$3:$S$252)</f>
        <v>0</v>
      </c>
      <c r="C21" s="50"/>
      <c r="D21" s="19"/>
      <c r="E21" s="19"/>
      <c r="F21" s="19"/>
      <c r="G21" s="19"/>
      <c r="H21" s="19"/>
      <c r="I21" s="19"/>
      <c r="J21" s="19"/>
      <c r="K21" s="19"/>
      <c r="L21" s="19"/>
      <c r="M21" s="19"/>
      <c r="N21" s="19"/>
      <c r="O21" s="19"/>
      <c r="P21" s="32"/>
      <c r="Q21" s="33"/>
      <c r="R21" s="28" t="b">
        <f t="shared" si="0"/>
        <v>0</v>
      </c>
      <c r="S21" s="28" t="b">
        <f t="shared" si="1"/>
        <v>0</v>
      </c>
    </row>
    <row r="22" spans="1:19" ht="15" customHeight="1" x14ac:dyDescent="0.2">
      <c r="A22" s="117" t="s">
        <v>8</v>
      </c>
      <c r="B22" s="21">
        <f>MAX($S$3:$S$252)</f>
        <v>0</v>
      </c>
      <c r="C22" s="50"/>
      <c r="D22" s="19"/>
      <c r="E22" s="19"/>
      <c r="F22" s="19"/>
      <c r="G22" s="19"/>
      <c r="H22" s="19"/>
      <c r="I22" s="19"/>
      <c r="J22" s="19"/>
      <c r="K22" s="19"/>
      <c r="L22" s="19"/>
      <c r="M22" s="19"/>
      <c r="N22" s="19"/>
      <c r="O22" s="19"/>
      <c r="P22" s="32"/>
      <c r="Q22" s="33"/>
      <c r="R22" s="28" t="b">
        <f t="shared" si="0"/>
        <v>0</v>
      </c>
      <c r="S22" s="28" t="b">
        <f t="shared" si="1"/>
        <v>0</v>
      </c>
    </row>
    <row r="23" spans="1:19" ht="15" customHeight="1" x14ac:dyDescent="0.2">
      <c r="A23" s="117" t="s">
        <v>68</v>
      </c>
      <c r="B23" s="21" t="e">
        <f>MEDIAN($S$3:$S$252)</f>
        <v>#NUM!</v>
      </c>
      <c r="C23" s="50"/>
      <c r="D23" s="19"/>
      <c r="E23" s="19"/>
      <c r="F23" s="19"/>
      <c r="G23" s="19"/>
      <c r="H23" s="19"/>
      <c r="I23" s="19"/>
      <c r="J23" s="19"/>
      <c r="K23" s="19"/>
      <c r="L23" s="19"/>
      <c r="M23" s="19"/>
      <c r="N23" s="19"/>
      <c r="O23" s="19"/>
      <c r="P23" s="32"/>
      <c r="Q23" s="33"/>
      <c r="R23" s="28" t="b">
        <f t="shared" si="0"/>
        <v>0</v>
      </c>
      <c r="S23" s="28" t="b">
        <f t="shared" si="1"/>
        <v>0</v>
      </c>
    </row>
    <row r="24" spans="1:19" ht="15" customHeight="1" x14ac:dyDescent="0.2">
      <c r="A24" s="117" t="s">
        <v>73</v>
      </c>
      <c r="B24" s="21" t="e">
        <f>AVERAGE($S$3:$S$252)</f>
        <v>#DIV/0!</v>
      </c>
      <c r="C24" s="50"/>
      <c r="D24" s="19"/>
      <c r="E24" s="19"/>
      <c r="F24" s="19"/>
      <c r="G24" s="19"/>
      <c r="H24" s="19"/>
      <c r="I24" s="19"/>
      <c r="J24" s="19"/>
      <c r="K24" s="19"/>
      <c r="L24" s="19"/>
      <c r="M24" s="19"/>
      <c r="N24" s="19"/>
      <c r="O24" s="19"/>
      <c r="P24" s="32"/>
      <c r="Q24" s="33"/>
      <c r="R24" s="28" t="b">
        <f t="shared" si="0"/>
        <v>0</v>
      </c>
      <c r="S24" s="28" t="b">
        <f t="shared" si="1"/>
        <v>0</v>
      </c>
    </row>
    <row r="25" spans="1:19" ht="15" customHeight="1" x14ac:dyDescent="0.2">
      <c r="A25" s="117" t="s">
        <v>75</v>
      </c>
      <c r="B25" s="23" t="e">
        <f>STDEV($S$3:$S$252)</f>
        <v>#DIV/0!</v>
      </c>
      <c r="C25" s="50"/>
      <c r="D25" s="19"/>
      <c r="E25" s="19"/>
      <c r="F25" s="19"/>
      <c r="G25" s="19"/>
      <c r="H25" s="19"/>
      <c r="I25" s="19"/>
      <c r="J25" s="19"/>
      <c r="K25" s="19"/>
      <c r="L25" s="19"/>
      <c r="M25" s="19"/>
      <c r="N25" s="19"/>
      <c r="O25" s="19"/>
      <c r="P25" s="32"/>
      <c r="Q25" s="33"/>
      <c r="R25" s="28" t="b">
        <f t="shared" si="0"/>
        <v>0</v>
      </c>
      <c r="S25" s="28" t="b">
        <f t="shared" si="1"/>
        <v>0</v>
      </c>
    </row>
    <row r="26" spans="1:19" ht="15" customHeight="1" x14ac:dyDescent="0.25">
      <c r="A26" s="117" t="s">
        <v>92</v>
      </c>
      <c r="B26" s="24" t="e">
        <f>((NORMINV(0.83,B24,B25)-B23)-(B23-NORMINV(0.17,B24,B25)))/(NORMINV(0.83,B24,B25)-NORMINV(0.17,B24,B25))</f>
        <v>#DIV/0!</v>
      </c>
      <c r="C26" s="50"/>
      <c r="D26" s="19"/>
      <c r="E26" s="148"/>
      <c r="F26" s="148"/>
      <c r="G26" s="148"/>
      <c r="H26" s="19"/>
      <c r="I26" s="19"/>
      <c r="J26" s="19"/>
      <c r="K26" s="19"/>
      <c r="L26" s="19"/>
      <c r="M26" s="19"/>
      <c r="N26" s="19"/>
      <c r="O26" s="19"/>
      <c r="P26" s="32"/>
      <c r="Q26" s="33"/>
      <c r="R26" s="28" t="b">
        <f t="shared" si="0"/>
        <v>0</v>
      </c>
      <c r="S26" s="28" t="b">
        <f t="shared" si="1"/>
        <v>0</v>
      </c>
    </row>
    <row r="27" spans="1:19" ht="15" customHeight="1" x14ac:dyDescent="0.2">
      <c r="A27" s="117" t="s">
        <v>85</v>
      </c>
      <c r="B27" s="21" t="e">
        <f>NORMINV(0.95,0,B25)</f>
        <v>#DIV/0!</v>
      </c>
      <c r="C27" s="50"/>
      <c r="D27" s="19"/>
      <c r="E27" s="19"/>
      <c r="F27" s="19"/>
      <c r="G27" s="19"/>
      <c r="H27" s="19"/>
      <c r="I27" s="19"/>
      <c r="J27" s="19"/>
      <c r="K27" s="19"/>
      <c r="L27" s="19"/>
      <c r="M27" s="19"/>
      <c r="N27" s="19"/>
      <c r="O27" s="19"/>
      <c r="P27" s="32"/>
      <c r="Q27" s="33"/>
      <c r="R27" s="28" t="b">
        <f t="shared" si="0"/>
        <v>0</v>
      </c>
      <c r="S27" s="28" t="b">
        <f t="shared" si="1"/>
        <v>0</v>
      </c>
    </row>
    <row r="28" spans="1:19" ht="15" customHeight="1" x14ac:dyDescent="0.2">
      <c r="A28" s="117" t="s">
        <v>86</v>
      </c>
      <c r="B28" s="21" t="e">
        <f>NORMINV(0.98,0,B25)</f>
        <v>#DIV/0!</v>
      </c>
      <c r="C28" s="50"/>
      <c r="D28" s="19"/>
      <c r="E28" s="19"/>
      <c r="F28" s="19"/>
      <c r="G28" s="19"/>
      <c r="H28" s="19"/>
      <c r="I28" s="19"/>
      <c r="J28" s="19"/>
      <c r="K28" s="19"/>
      <c r="L28" s="19"/>
      <c r="M28" s="19"/>
      <c r="N28" s="19"/>
      <c r="O28" s="19"/>
      <c r="P28" s="32"/>
      <c r="Q28" s="33"/>
      <c r="R28" s="28" t="b">
        <f t="shared" si="0"/>
        <v>0</v>
      </c>
      <c r="S28" s="28" t="b">
        <f t="shared" si="1"/>
        <v>0</v>
      </c>
    </row>
    <row r="29" spans="1:19" ht="15" customHeight="1" x14ac:dyDescent="0.2">
      <c r="A29" s="117" t="s">
        <v>44</v>
      </c>
      <c r="B29" s="20" t="e">
        <f>IF(((B22-B21)/B25)&gt;INDEX(XX!B4:'XX'!B150,B9-3),"ja","nein")</f>
        <v>#DIV/0!</v>
      </c>
      <c r="C29" s="50"/>
      <c r="D29" s="19"/>
      <c r="E29" s="19"/>
      <c r="F29" s="19"/>
      <c r="G29" s="19"/>
      <c r="H29" s="19"/>
      <c r="I29" s="19"/>
      <c r="J29" s="19"/>
      <c r="K29" s="19"/>
      <c r="L29" s="19"/>
      <c r="M29" s="19"/>
      <c r="N29" s="19"/>
      <c r="O29" s="19"/>
      <c r="P29" s="32"/>
      <c r="Q29" s="33"/>
      <c r="R29" s="28" t="b">
        <f t="shared" si="0"/>
        <v>0</v>
      </c>
      <c r="S29" s="28" t="b">
        <f t="shared" si="1"/>
        <v>0</v>
      </c>
    </row>
    <row r="30" spans="1:19" ht="15" customHeight="1" x14ac:dyDescent="0.2">
      <c r="A30" s="26"/>
      <c r="B30" s="26"/>
      <c r="C30" s="26"/>
      <c r="D30" s="19"/>
      <c r="E30" s="47"/>
      <c r="F30" s="19"/>
      <c r="G30" s="19"/>
      <c r="H30" s="19"/>
      <c r="I30" s="19"/>
      <c r="J30" s="19"/>
      <c r="K30" s="19"/>
      <c r="L30" s="19"/>
      <c r="M30" s="19"/>
      <c r="N30" s="19"/>
      <c r="O30" s="19"/>
      <c r="P30" s="32"/>
      <c r="Q30" s="33"/>
      <c r="R30" s="28" t="b">
        <f t="shared" si="0"/>
        <v>0</v>
      </c>
      <c r="S30" s="28" t="b">
        <f t="shared" si="1"/>
        <v>0</v>
      </c>
    </row>
    <row r="31" spans="1:19" ht="15" customHeight="1" x14ac:dyDescent="0.25">
      <c r="A31" s="168" t="s">
        <v>88</v>
      </c>
      <c r="B31" s="168"/>
      <c r="C31" s="168"/>
      <c r="D31" s="19"/>
      <c r="E31" s="19"/>
      <c r="F31" s="19"/>
      <c r="G31" s="19"/>
      <c r="H31" s="19"/>
      <c r="I31" s="19"/>
      <c r="J31" s="19"/>
      <c r="K31" s="19"/>
      <c r="L31" s="19"/>
      <c r="M31" s="19"/>
      <c r="N31" s="19"/>
      <c r="O31" s="19"/>
      <c r="P31" s="32"/>
      <c r="Q31" s="33"/>
      <c r="R31" s="28" t="b">
        <f t="shared" si="0"/>
        <v>0</v>
      </c>
      <c r="S31" s="28" t="b">
        <f t="shared" si="1"/>
        <v>0</v>
      </c>
    </row>
    <row r="32" spans="1:19" ht="15" customHeight="1" x14ac:dyDescent="0.2">
      <c r="A32" s="130" t="s">
        <v>89</v>
      </c>
      <c r="B32" s="30">
        <v>0</v>
      </c>
      <c r="C32" s="18"/>
      <c r="D32" s="19"/>
      <c r="E32" s="19"/>
      <c r="F32" s="19"/>
      <c r="G32" s="19"/>
      <c r="H32" s="19"/>
      <c r="I32" s="19"/>
      <c r="J32" s="19"/>
      <c r="K32" s="19"/>
      <c r="L32" s="19"/>
      <c r="M32" s="19"/>
      <c r="N32" s="19"/>
      <c r="O32" s="19"/>
      <c r="P32" s="32"/>
      <c r="Q32" s="33"/>
      <c r="R32" s="28" t="b">
        <f t="shared" si="0"/>
        <v>0</v>
      </c>
      <c r="S32" s="28" t="b">
        <f t="shared" si="1"/>
        <v>0</v>
      </c>
    </row>
    <row r="33" spans="1:19" ht="15" customHeight="1" x14ac:dyDescent="0.2">
      <c r="A33" s="26"/>
      <c r="B33" s="26"/>
      <c r="C33" s="26"/>
      <c r="D33" s="19"/>
      <c r="E33" s="19"/>
      <c r="F33" s="19"/>
      <c r="G33" s="19"/>
      <c r="H33" s="19"/>
      <c r="I33" s="19"/>
      <c r="J33" s="19"/>
      <c r="K33" s="19"/>
      <c r="L33" s="19"/>
      <c r="M33" s="19"/>
      <c r="N33" s="19"/>
      <c r="O33" s="19"/>
      <c r="P33" s="32"/>
      <c r="Q33" s="33"/>
      <c r="R33" s="28" t="b">
        <f t="shared" si="0"/>
        <v>0</v>
      </c>
      <c r="S33" s="28" t="b">
        <f t="shared" si="1"/>
        <v>0</v>
      </c>
    </row>
    <row r="34" spans="1:19" ht="15" customHeight="1" x14ac:dyDescent="0.25">
      <c r="A34" s="144" t="s">
        <v>59</v>
      </c>
      <c r="B34" s="144"/>
      <c r="C34" s="144"/>
      <c r="D34" s="19"/>
      <c r="E34" s="119" t="s">
        <v>60</v>
      </c>
      <c r="F34" s="19"/>
      <c r="G34" s="19"/>
      <c r="H34" s="19"/>
      <c r="I34" s="19"/>
      <c r="J34" s="19"/>
      <c r="K34" s="19"/>
      <c r="L34" s="19"/>
      <c r="M34" s="19"/>
      <c r="N34" s="19"/>
      <c r="O34" s="19"/>
      <c r="P34" s="32"/>
      <c r="Q34" s="33"/>
      <c r="R34" s="28" t="b">
        <f t="shared" si="0"/>
        <v>0</v>
      </c>
      <c r="S34" s="28" t="b">
        <f t="shared" si="1"/>
        <v>0</v>
      </c>
    </row>
    <row r="35" spans="1:19" ht="15" customHeight="1" x14ac:dyDescent="0.2">
      <c r="A35" s="130" t="s">
        <v>87</v>
      </c>
      <c r="B35" s="31"/>
      <c r="C35" s="31"/>
      <c r="D35" s="19"/>
      <c r="E35" s="19"/>
      <c r="F35" s="19"/>
      <c r="G35" s="19"/>
      <c r="H35" s="19"/>
      <c r="I35" s="19"/>
      <c r="J35" s="19"/>
      <c r="K35" s="19"/>
      <c r="L35" s="19"/>
      <c r="M35" s="19"/>
      <c r="N35" s="19"/>
      <c r="O35" s="19"/>
      <c r="P35" s="32"/>
      <c r="Q35" s="33"/>
      <c r="R35" s="28" t="b">
        <f t="shared" si="0"/>
        <v>0</v>
      </c>
      <c r="S35" s="28" t="b">
        <f t="shared" si="1"/>
        <v>0</v>
      </c>
    </row>
    <row r="36" spans="1:19" ht="15" customHeight="1" x14ac:dyDescent="0.2">
      <c r="A36" s="117" t="s">
        <v>54</v>
      </c>
      <c r="B36" s="25">
        <f>B35-B32</f>
        <v>0</v>
      </c>
      <c r="C36" s="25">
        <f>C35-B32</f>
        <v>0</v>
      </c>
      <c r="D36" s="19"/>
      <c r="E36" s="19"/>
      <c r="F36" s="19"/>
      <c r="G36" s="19"/>
      <c r="H36" s="19"/>
      <c r="I36" s="19"/>
      <c r="J36" s="19"/>
      <c r="K36" s="19"/>
      <c r="L36" s="19"/>
      <c r="M36" s="19"/>
      <c r="N36" s="19"/>
      <c r="O36" s="19"/>
      <c r="P36" s="32"/>
      <c r="Q36" s="33"/>
      <c r="R36" s="28" t="b">
        <f t="shared" si="0"/>
        <v>0</v>
      </c>
      <c r="S36" s="28" t="b">
        <f t="shared" si="1"/>
        <v>0</v>
      </c>
    </row>
    <row r="37" spans="1:19" ht="15" customHeight="1" x14ac:dyDescent="0.2">
      <c r="A37" s="26"/>
      <c r="B37" s="26"/>
      <c r="C37" s="27"/>
      <c r="D37" s="19"/>
      <c r="E37" s="19"/>
      <c r="F37" s="19"/>
      <c r="G37" s="19"/>
      <c r="H37" s="19"/>
      <c r="I37" s="19"/>
      <c r="J37" s="19"/>
      <c r="K37" s="19"/>
      <c r="L37" s="19"/>
      <c r="M37" s="19"/>
      <c r="N37" s="19"/>
      <c r="O37" s="19"/>
      <c r="P37" s="32"/>
      <c r="Q37" s="33"/>
      <c r="R37" s="28" t="b">
        <f t="shared" si="0"/>
        <v>0</v>
      </c>
      <c r="S37" s="28" t="b">
        <f t="shared" si="1"/>
        <v>0</v>
      </c>
    </row>
    <row r="38" spans="1:19" ht="15" customHeight="1" x14ac:dyDescent="0.25">
      <c r="A38" s="144" t="s">
        <v>90</v>
      </c>
      <c r="B38" s="144"/>
      <c r="C38" s="144"/>
      <c r="D38" s="19"/>
      <c r="E38" s="19"/>
      <c r="F38" s="19"/>
      <c r="G38" s="19"/>
      <c r="H38" s="19"/>
      <c r="I38" s="19"/>
      <c r="J38" s="19"/>
      <c r="K38" s="19"/>
      <c r="L38" s="19"/>
      <c r="M38" s="19"/>
      <c r="N38" s="19"/>
      <c r="O38" s="19"/>
      <c r="P38" s="32"/>
      <c r="Q38" s="33"/>
      <c r="R38" s="28" t="b">
        <f t="shared" si="0"/>
        <v>0</v>
      </c>
      <c r="S38" s="28" t="b">
        <f t="shared" si="1"/>
        <v>0</v>
      </c>
    </row>
    <row r="39" spans="1:19" ht="15" customHeight="1" x14ac:dyDescent="0.2">
      <c r="A39" s="118" t="s">
        <v>67</v>
      </c>
      <c r="B39" s="21" t="e">
        <f>MAX($B$17+$B$18*$B36+$B$28+0.5*$B$6,$B$17+$B$18*$C36+$B$28+0.5*$B$6,$B$6)</f>
        <v>#DIV/0!</v>
      </c>
      <c r="C39" s="50"/>
      <c r="D39" s="19"/>
      <c r="E39" s="19"/>
      <c r="F39" s="19"/>
      <c r="G39" s="19"/>
      <c r="H39" s="19"/>
      <c r="I39" s="19"/>
      <c r="J39" s="19"/>
      <c r="K39" s="19"/>
      <c r="L39" s="19"/>
      <c r="M39" s="19"/>
      <c r="N39" s="19"/>
      <c r="O39" s="19"/>
      <c r="P39" s="32"/>
      <c r="Q39" s="33"/>
      <c r="R39" s="28" t="b">
        <f t="shared" si="0"/>
        <v>0</v>
      </c>
      <c r="S39" s="28" t="b">
        <f t="shared" si="1"/>
        <v>0</v>
      </c>
    </row>
    <row r="40" spans="1:19" ht="15" x14ac:dyDescent="0.2">
      <c r="A40" s="118" t="s">
        <v>61</v>
      </c>
      <c r="B40" s="21" t="e">
        <f>INDEX($R$3:$R$252,B9)+$B$28+0.5*$B$6</f>
        <v>#DIV/0!</v>
      </c>
      <c r="C40" s="50"/>
      <c r="D40" s="19"/>
      <c r="E40" s="19"/>
      <c r="F40" s="19"/>
      <c r="G40" s="19"/>
      <c r="H40" s="19"/>
      <c r="I40" s="19"/>
      <c r="J40" s="19"/>
      <c r="K40" s="19"/>
      <c r="L40" s="19"/>
      <c r="M40" s="19"/>
      <c r="N40" s="19"/>
      <c r="O40" s="19"/>
      <c r="P40" s="32"/>
      <c r="Q40" s="33"/>
      <c r="R40" s="28" t="b">
        <f t="shared" si="0"/>
        <v>0</v>
      </c>
      <c r="S40" s="28" t="b">
        <f t="shared" si="1"/>
        <v>0</v>
      </c>
    </row>
    <row r="41" spans="1:19" ht="15.75" x14ac:dyDescent="0.25">
      <c r="A41" s="116" t="s">
        <v>81</v>
      </c>
      <c r="B41" s="95" t="e">
        <f>IF($B$18&gt;0,B39,MAX(B40,B39))</f>
        <v>#DIV/0!</v>
      </c>
      <c r="C41" s="51"/>
      <c r="D41" s="19"/>
      <c r="E41" s="19"/>
      <c r="F41" s="19"/>
      <c r="G41" s="19"/>
      <c r="H41" s="19"/>
      <c r="I41" s="19"/>
      <c r="J41" s="19"/>
      <c r="K41" s="19"/>
      <c r="L41" s="19"/>
      <c r="M41" s="19"/>
      <c r="N41" s="19"/>
      <c r="O41" s="19"/>
      <c r="P41" s="32"/>
      <c r="Q41" s="33"/>
      <c r="R41" s="28" t="b">
        <f t="shared" si="0"/>
        <v>0</v>
      </c>
      <c r="S41" s="28" t="b">
        <f t="shared" si="1"/>
        <v>0</v>
      </c>
    </row>
    <row r="42" spans="1:19" x14ac:dyDescent="0.2">
      <c r="A42" s="19"/>
      <c r="B42" s="19"/>
      <c r="C42" s="19"/>
      <c r="D42" s="19"/>
      <c r="E42" s="19"/>
      <c r="F42" s="19"/>
      <c r="G42" s="19"/>
      <c r="H42" s="19"/>
      <c r="I42" s="19"/>
      <c r="J42" s="19"/>
      <c r="K42" s="19"/>
      <c r="L42" s="19"/>
      <c r="M42" s="19"/>
      <c r="N42" s="19"/>
      <c r="O42" s="19"/>
      <c r="P42" s="32"/>
      <c r="Q42" s="33"/>
      <c r="R42" s="28" t="b">
        <f t="shared" si="0"/>
        <v>0</v>
      </c>
      <c r="S42" s="28" t="b">
        <f t="shared" si="1"/>
        <v>0</v>
      </c>
    </row>
    <row r="43" spans="1:19" x14ac:dyDescent="0.2">
      <c r="A43" s="19"/>
      <c r="B43" s="19"/>
      <c r="C43" s="19"/>
      <c r="D43" s="19"/>
      <c r="E43" s="19"/>
      <c r="F43" s="19"/>
      <c r="G43" s="19"/>
      <c r="H43" s="19"/>
      <c r="I43" s="19"/>
      <c r="J43" s="19"/>
      <c r="K43" s="19"/>
      <c r="L43" s="19"/>
      <c r="M43" s="19"/>
      <c r="N43" s="19"/>
      <c r="O43" s="19"/>
      <c r="P43" s="32"/>
      <c r="Q43" s="33"/>
      <c r="R43" s="28" t="b">
        <f t="shared" si="0"/>
        <v>0</v>
      </c>
      <c r="S43" s="28" t="b">
        <f t="shared" si="1"/>
        <v>0</v>
      </c>
    </row>
    <row r="44" spans="1:19" x14ac:dyDescent="0.2">
      <c r="A44" s="19"/>
      <c r="B44" s="19"/>
      <c r="C44" s="19"/>
      <c r="D44" s="19"/>
      <c r="E44" s="19"/>
      <c r="F44" s="19"/>
      <c r="G44" s="19"/>
      <c r="H44" s="19"/>
      <c r="I44" s="19"/>
      <c r="J44" s="19"/>
      <c r="K44" s="19"/>
      <c r="L44" s="19"/>
      <c r="M44" s="19"/>
      <c r="N44" s="19"/>
      <c r="O44" s="19"/>
      <c r="P44" s="32"/>
      <c r="Q44" s="33"/>
      <c r="R44" s="28" t="b">
        <f t="shared" si="0"/>
        <v>0</v>
      </c>
      <c r="S44" s="28" t="b">
        <f t="shared" si="1"/>
        <v>0</v>
      </c>
    </row>
    <row r="45" spans="1:19" x14ac:dyDescent="0.2">
      <c r="A45" s="19"/>
      <c r="B45" s="19"/>
      <c r="C45" s="19"/>
      <c r="D45" s="19"/>
      <c r="E45" s="19"/>
      <c r="F45" s="19"/>
      <c r="G45" s="19"/>
      <c r="H45" s="19"/>
      <c r="I45" s="19"/>
      <c r="J45" s="19"/>
      <c r="K45" s="19"/>
      <c r="L45" s="19"/>
      <c r="M45" s="19"/>
      <c r="N45" s="19"/>
      <c r="O45" s="19"/>
      <c r="P45" s="32"/>
      <c r="Q45" s="33"/>
      <c r="R45" s="28" t="b">
        <f t="shared" si="0"/>
        <v>0</v>
      </c>
      <c r="S45" s="28" t="b">
        <f t="shared" si="1"/>
        <v>0</v>
      </c>
    </row>
    <row r="46" spans="1:19" x14ac:dyDescent="0.2">
      <c r="A46" s="19"/>
      <c r="B46" s="37"/>
      <c r="C46" s="19"/>
      <c r="D46" s="19"/>
      <c r="E46" s="19"/>
      <c r="F46" s="19"/>
      <c r="G46" s="19"/>
      <c r="H46" s="19"/>
      <c r="I46" s="19"/>
      <c r="J46" s="19"/>
      <c r="K46" s="19"/>
      <c r="L46" s="19"/>
      <c r="M46" s="19"/>
      <c r="N46" s="19"/>
      <c r="O46" s="19"/>
      <c r="P46" s="32"/>
      <c r="Q46" s="33"/>
      <c r="R46" s="28" t="b">
        <f t="shared" si="0"/>
        <v>0</v>
      </c>
      <c r="S46" s="28" t="b">
        <f t="shared" si="1"/>
        <v>0</v>
      </c>
    </row>
    <row r="47" spans="1:19" x14ac:dyDescent="0.2">
      <c r="A47" s="19"/>
      <c r="B47" s="19"/>
      <c r="C47" s="19"/>
      <c r="D47" s="19"/>
      <c r="E47" s="19"/>
      <c r="F47" s="19"/>
      <c r="G47" s="19"/>
      <c r="H47" s="19"/>
      <c r="I47" s="19"/>
      <c r="J47" s="19"/>
      <c r="K47" s="19"/>
      <c r="L47" s="19"/>
      <c r="M47" s="19"/>
      <c r="N47" s="19"/>
      <c r="O47" s="19"/>
      <c r="P47" s="32"/>
      <c r="Q47" s="33"/>
      <c r="R47" s="28" t="b">
        <f t="shared" si="0"/>
        <v>0</v>
      </c>
      <c r="S47" s="28" t="b">
        <f t="shared" si="1"/>
        <v>0</v>
      </c>
    </row>
    <row r="48" spans="1:19" x14ac:dyDescent="0.2">
      <c r="A48" s="19"/>
      <c r="B48" s="19"/>
      <c r="C48" s="19"/>
      <c r="D48" s="19"/>
      <c r="E48" s="19"/>
      <c r="F48" s="19"/>
      <c r="G48" s="19"/>
      <c r="H48" s="19"/>
      <c r="I48" s="19"/>
      <c r="J48" s="19"/>
      <c r="K48" s="19"/>
      <c r="L48" s="19"/>
      <c r="M48" s="19"/>
      <c r="N48" s="19"/>
      <c r="O48" s="19"/>
      <c r="P48" s="32"/>
      <c r="Q48" s="33"/>
      <c r="R48" s="28" t="b">
        <f t="shared" si="0"/>
        <v>0</v>
      </c>
      <c r="S48" s="28" t="b">
        <f t="shared" si="1"/>
        <v>0</v>
      </c>
    </row>
    <row r="49" spans="1:19" x14ac:dyDescent="0.2">
      <c r="A49" s="19"/>
      <c r="B49" s="19"/>
      <c r="C49" s="19"/>
      <c r="D49" s="19"/>
      <c r="E49" s="19"/>
      <c r="F49" s="19"/>
      <c r="G49" s="19"/>
      <c r="H49" s="19"/>
      <c r="I49" s="19"/>
      <c r="J49" s="19"/>
      <c r="K49" s="19"/>
      <c r="L49" s="19"/>
      <c r="M49" s="19"/>
      <c r="N49" s="19"/>
      <c r="O49" s="19"/>
      <c r="P49" s="32"/>
      <c r="Q49" s="33"/>
      <c r="R49" s="28" t="b">
        <f t="shared" si="0"/>
        <v>0</v>
      </c>
      <c r="S49" s="28" t="b">
        <f t="shared" si="1"/>
        <v>0</v>
      </c>
    </row>
    <row r="50" spans="1:19" x14ac:dyDescent="0.2">
      <c r="A50" s="19"/>
      <c r="B50" s="19"/>
      <c r="C50" s="19"/>
      <c r="D50" s="19"/>
      <c r="E50" s="19"/>
      <c r="F50" s="19"/>
      <c r="G50" s="19"/>
      <c r="H50" s="19"/>
      <c r="I50" s="19"/>
      <c r="J50" s="19"/>
      <c r="K50" s="19"/>
      <c r="L50" s="19"/>
      <c r="M50" s="19"/>
      <c r="N50" s="19"/>
      <c r="O50" s="19"/>
      <c r="P50" s="32"/>
      <c r="Q50" s="33"/>
      <c r="R50" s="28" t="b">
        <f t="shared" si="0"/>
        <v>0</v>
      </c>
      <c r="S50" s="28" t="b">
        <f t="shared" si="1"/>
        <v>0</v>
      </c>
    </row>
    <row r="51" spans="1:19" x14ac:dyDescent="0.2">
      <c r="A51" s="19"/>
      <c r="B51" s="19"/>
      <c r="C51" s="19"/>
      <c r="D51" s="19"/>
      <c r="E51" s="19"/>
      <c r="F51" s="19"/>
      <c r="G51" s="19"/>
      <c r="H51" s="19"/>
      <c r="I51" s="19"/>
      <c r="J51" s="19"/>
      <c r="K51" s="19"/>
      <c r="L51" s="19"/>
      <c r="M51" s="19"/>
      <c r="N51" s="19"/>
      <c r="O51" s="19"/>
      <c r="P51" s="32"/>
      <c r="Q51" s="33"/>
      <c r="R51" s="28" t="b">
        <f t="shared" si="0"/>
        <v>0</v>
      </c>
      <c r="S51" s="28" t="b">
        <f t="shared" si="1"/>
        <v>0</v>
      </c>
    </row>
    <row r="52" spans="1:19" x14ac:dyDescent="0.2">
      <c r="A52" s="19"/>
      <c r="B52" s="19"/>
      <c r="C52" s="19"/>
      <c r="D52" s="19"/>
      <c r="E52" s="19"/>
      <c r="F52" s="19"/>
      <c r="G52" s="19"/>
      <c r="H52" s="19"/>
      <c r="I52" s="19"/>
      <c r="J52" s="19"/>
      <c r="K52" s="19"/>
      <c r="L52" s="19"/>
      <c r="M52" s="19"/>
      <c r="N52" s="19"/>
      <c r="O52" s="19"/>
      <c r="P52" s="32"/>
      <c r="Q52" s="33"/>
      <c r="R52" s="28" t="b">
        <f t="shared" si="0"/>
        <v>0</v>
      </c>
      <c r="S52" s="28" t="b">
        <f t="shared" si="1"/>
        <v>0</v>
      </c>
    </row>
    <row r="53" spans="1:19" x14ac:dyDescent="0.2">
      <c r="A53" s="19"/>
      <c r="B53" s="19"/>
      <c r="C53" s="19"/>
      <c r="D53" s="19"/>
      <c r="E53" s="19"/>
      <c r="F53" s="19"/>
      <c r="G53" s="19"/>
      <c r="H53" s="19"/>
      <c r="I53" s="19"/>
      <c r="J53" s="19"/>
      <c r="K53" s="19"/>
      <c r="L53" s="19"/>
      <c r="M53" s="19"/>
      <c r="N53" s="19"/>
      <c r="O53" s="19"/>
      <c r="P53" s="32"/>
      <c r="Q53" s="33"/>
      <c r="R53" s="28" t="b">
        <f t="shared" si="0"/>
        <v>0</v>
      </c>
      <c r="S53" s="28" t="b">
        <f t="shared" si="1"/>
        <v>0</v>
      </c>
    </row>
    <row r="54" spans="1:19" x14ac:dyDescent="0.2">
      <c r="A54" s="19"/>
      <c r="B54" s="19"/>
      <c r="C54" s="19"/>
      <c r="D54" s="19"/>
      <c r="E54" s="19"/>
      <c r="F54" s="19"/>
      <c r="G54" s="19"/>
      <c r="H54" s="19"/>
      <c r="I54" s="19"/>
      <c r="J54" s="19"/>
      <c r="K54" s="19"/>
      <c r="L54" s="19"/>
      <c r="M54" s="19"/>
      <c r="N54" s="19"/>
      <c r="O54" s="19"/>
      <c r="P54" s="32"/>
      <c r="Q54" s="33"/>
      <c r="R54" s="28" t="b">
        <f t="shared" si="0"/>
        <v>0</v>
      </c>
      <c r="S54" s="28" t="b">
        <f t="shared" si="1"/>
        <v>0</v>
      </c>
    </row>
    <row r="55" spans="1:19" x14ac:dyDescent="0.2">
      <c r="A55" s="19"/>
      <c r="B55" s="19"/>
      <c r="C55" s="19"/>
      <c r="D55" s="19"/>
      <c r="E55" s="19"/>
      <c r="F55" s="19"/>
      <c r="G55" s="19"/>
      <c r="H55" s="19"/>
      <c r="I55" s="19"/>
      <c r="J55" s="19"/>
      <c r="K55" s="19"/>
      <c r="L55" s="19"/>
      <c r="M55" s="19"/>
      <c r="N55" s="19"/>
      <c r="O55" s="19"/>
      <c r="P55" s="32"/>
      <c r="Q55" s="33"/>
      <c r="R55" s="28" t="b">
        <f t="shared" si="0"/>
        <v>0</v>
      </c>
      <c r="S55" s="28" t="b">
        <f t="shared" si="1"/>
        <v>0</v>
      </c>
    </row>
    <row r="56" spans="1:19" x14ac:dyDescent="0.2">
      <c r="A56" s="19"/>
      <c r="B56" s="19"/>
      <c r="C56" s="19"/>
      <c r="D56" s="19"/>
      <c r="E56" s="19"/>
      <c r="F56" s="19"/>
      <c r="G56" s="19"/>
      <c r="H56" s="19"/>
      <c r="I56" s="19"/>
      <c r="J56" s="19"/>
      <c r="K56" s="19"/>
      <c r="L56" s="19"/>
      <c r="M56" s="19"/>
      <c r="N56" s="19"/>
      <c r="O56" s="19"/>
      <c r="P56" s="32"/>
      <c r="Q56" s="33"/>
      <c r="R56" s="28" t="b">
        <f t="shared" si="0"/>
        <v>0</v>
      </c>
      <c r="S56" s="28" t="b">
        <f t="shared" si="1"/>
        <v>0</v>
      </c>
    </row>
    <row r="57" spans="1:19" x14ac:dyDescent="0.2">
      <c r="A57" s="19"/>
      <c r="B57" s="19"/>
      <c r="C57" s="19"/>
      <c r="D57" s="19"/>
      <c r="E57" s="19"/>
      <c r="F57" s="19"/>
      <c r="G57" s="19"/>
      <c r="H57" s="19"/>
      <c r="I57" s="19"/>
      <c r="J57" s="19"/>
      <c r="K57" s="19"/>
      <c r="L57" s="19"/>
      <c r="M57" s="19"/>
      <c r="N57" s="19"/>
      <c r="O57" s="19"/>
      <c r="P57" s="32"/>
      <c r="Q57" s="33"/>
      <c r="R57" s="28" t="b">
        <f t="shared" si="0"/>
        <v>0</v>
      </c>
      <c r="S57" s="28" t="b">
        <f t="shared" si="1"/>
        <v>0</v>
      </c>
    </row>
    <row r="58" spans="1:19" x14ac:dyDescent="0.2">
      <c r="A58" s="19"/>
      <c r="B58" s="19"/>
      <c r="C58" s="19"/>
      <c r="D58" s="19"/>
      <c r="E58" s="19"/>
      <c r="F58" s="19"/>
      <c r="G58" s="19"/>
      <c r="H58" s="19"/>
      <c r="I58" s="19"/>
      <c r="J58" s="19"/>
      <c r="K58" s="19"/>
      <c r="L58" s="19"/>
      <c r="M58" s="19"/>
      <c r="N58" s="19"/>
      <c r="O58" s="19"/>
      <c r="P58" s="32"/>
      <c r="Q58" s="33"/>
      <c r="R58" s="28" t="b">
        <f t="shared" si="0"/>
        <v>0</v>
      </c>
      <c r="S58" s="28" t="b">
        <f t="shared" si="1"/>
        <v>0</v>
      </c>
    </row>
    <row r="59" spans="1:19" x14ac:dyDescent="0.2">
      <c r="A59" s="19"/>
      <c r="B59" s="19"/>
      <c r="C59" s="19"/>
      <c r="D59" s="19"/>
      <c r="E59" s="19"/>
      <c r="F59" s="19"/>
      <c r="G59" s="19"/>
      <c r="H59" s="19"/>
      <c r="I59" s="19"/>
      <c r="J59" s="19"/>
      <c r="K59" s="19"/>
      <c r="L59" s="19"/>
      <c r="M59" s="19"/>
      <c r="N59" s="19"/>
      <c r="O59" s="19"/>
      <c r="P59" s="32"/>
      <c r="Q59" s="33"/>
      <c r="R59" s="28" t="b">
        <f t="shared" si="0"/>
        <v>0</v>
      </c>
      <c r="S59" s="28" t="b">
        <f t="shared" si="1"/>
        <v>0</v>
      </c>
    </row>
    <row r="60" spans="1:19" x14ac:dyDescent="0.2">
      <c r="A60" s="19"/>
      <c r="B60" s="19"/>
      <c r="C60" s="19"/>
      <c r="D60" s="19"/>
      <c r="E60" s="19"/>
      <c r="F60" s="19"/>
      <c r="G60" s="19"/>
      <c r="H60" s="19"/>
      <c r="I60" s="19"/>
      <c r="J60" s="19"/>
      <c r="K60" s="19"/>
      <c r="L60" s="19"/>
      <c r="M60" s="19"/>
      <c r="N60" s="19"/>
      <c r="O60" s="19"/>
      <c r="P60" s="32"/>
      <c r="Q60" s="33"/>
      <c r="R60" s="28" t="b">
        <f t="shared" si="0"/>
        <v>0</v>
      </c>
      <c r="S60" s="28" t="b">
        <f t="shared" si="1"/>
        <v>0</v>
      </c>
    </row>
    <row r="61" spans="1:19" x14ac:dyDescent="0.2">
      <c r="A61" s="19"/>
      <c r="B61" s="19"/>
      <c r="C61" s="19"/>
      <c r="D61" s="19"/>
      <c r="E61" s="19"/>
      <c r="F61" s="19"/>
      <c r="G61" s="19"/>
      <c r="H61" s="19"/>
      <c r="I61" s="19"/>
      <c r="J61" s="19"/>
      <c r="K61" s="19"/>
      <c r="L61" s="19"/>
      <c r="M61" s="19"/>
      <c r="N61" s="19"/>
      <c r="O61" s="19"/>
      <c r="P61" s="32"/>
      <c r="Q61" s="33"/>
      <c r="R61" s="28" t="b">
        <f t="shared" si="0"/>
        <v>0</v>
      </c>
      <c r="S61" s="28" t="b">
        <f t="shared" si="1"/>
        <v>0</v>
      </c>
    </row>
    <row r="62" spans="1:19" x14ac:dyDescent="0.2">
      <c r="A62" s="19"/>
      <c r="B62" s="19"/>
      <c r="C62" s="19"/>
      <c r="D62" s="19"/>
      <c r="E62" s="19"/>
      <c r="F62" s="19"/>
      <c r="G62" s="19"/>
      <c r="H62" s="19"/>
      <c r="I62" s="19"/>
      <c r="J62" s="19"/>
      <c r="K62" s="19"/>
      <c r="L62" s="19"/>
      <c r="M62" s="19"/>
      <c r="N62" s="19"/>
      <c r="O62" s="19"/>
      <c r="P62" s="32"/>
      <c r="Q62" s="33"/>
      <c r="R62" s="28" t="b">
        <f t="shared" si="0"/>
        <v>0</v>
      </c>
      <c r="S62" s="28" t="b">
        <f t="shared" si="1"/>
        <v>0</v>
      </c>
    </row>
    <row r="63" spans="1:19" x14ac:dyDescent="0.2">
      <c r="A63" s="19"/>
      <c r="B63" s="19"/>
      <c r="C63" s="19"/>
      <c r="D63" s="19"/>
      <c r="E63" s="19"/>
      <c r="F63" s="19"/>
      <c r="G63" s="19"/>
      <c r="H63" s="19"/>
      <c r="I63" s="19"/>
      <c r="J63" s="19"/>
      <c r="K63" s="19"/>
      <c r="L63" s="19"/>
      <c r="M63" s="19"/>
      <c r="N63" s="19"/>
      <c r="O63" s="19"/>
      <c r="P63" s="32"/>
      <c r="Q63" s="33"/>
      <c r="R63" s="28" t="b">
        <f t="shared" si="0"/>
        <v>0</v>
      </c>
      <c r="S63" s="28" t="b">
        <f t="shared" si="1"/>
        <v>0</v>
      </c>
    </row>
    <row r="64" spans="1:19" x14ac:dyDescent="0.2">
      <c r="A64" s="19"/>
      <c r="B64" s="19"/>
      <c r="C64" s="19"/>
      <c r="D64" s="19"/>
      <c r="E64" s="19"/>
      <c r="F64" s="19"/>
      <c r="G64" s="19"/>
      <c r="H64" s="19"/>
      <c r="I64" s="19"/>
      <c r="J64" s="19"/>
      <c r="K64" s="19"/>
      <c r="L64" s="19"/>
      <c r="M64" s="19"/>
      <c r="N64" s="19"/>
      <c r="O64" s="19"/>
      <c r="P64" s="32"/>
      <c r="Q64" s="33"/>
      <c r="R64" s="28" t="b">
        <f t="shared" si="0"/>
        <v>0</v>
      </c>
      <c r="S64" s="28" t="b">
        <f t="shared" si="1"/>
        <v>0</v>
      </c>
    </row>
    <row r="65" spans="1:19" x14ac:dyDescent="0.2">
      <c r="A65" s="19"/>
      <c r="B65" s="19"/>
      <c r="C65" s="19"/>
      <c r="D65" s="19"/>
      <c r="E65" s="39"/>
      <c r="F65" s="39"/>
      <c r="G65" s="39"/>
      <c r="H65" s="39"/>
      <c r="I65" s="39"/>
      <c r="J65" s="39"/>
      <c r="K65" s="39"/>
      <c r="L65" s="40"/>
      <c r="M65" s="19"/>
      <c r="N65" s="19"/>
      <c r="O65" s="19"/>
      <c r="P65" s="32"/>
      <c r="Q65" s="33"/>
      <c r="R65" s="28" t="b">
        <f t="shared" si="0"/>
        <v>0</v>
      </c>
      <c r="S65" s="28" t="b">
        <f t="shared" si="1"/>
        <v>0</v>
      </c>
    </row>
    <row r="66" spans="1:19" x14ac:dyDescent="0.2">
      <c r="A66" s="19"/>
      <c r="B66" s="19"/>
      <c r="C66" s="19"/>
      <c r="D66" s="19"/>
      <c r="E66" s="39"/>
      <c r="F66" s="39"/>
      <c r="G66" s="39"/>
      <c r="H66" s="39"/>
      <c r="I66" s="39"/>
      <c r="J66" s="39"/>
      <c r="K66" s="39"/>
      <c r="L66" s="40"/>
      <c r="M66" s="19"/>
      <c r="N66" s="19"/>
      <c r="O66" s="19"/>
      <c r="P66" s="32"/>
      <c r="Q66" s="33"/>
      <c r="R66" s="28" t="b">
        <f t="shared" si="0"/>
        <v>0</v>
      </c>
      <c r="S66" s="28" t="b">
        <f t="shared" si="1"/>
        <v>0</v>
      </c>
    </row>
    <row r="67" spans="1:19" x14ac:dyDescent="0.2">
      <c r="A67" s="19"/>
      <c r="B67" s="19"/>
      <c r="C67" s="19"/>
      <c r="D67" s="19"/>
      <c r="E67" s="39"/>
      <c r="F67" s="39"/>
      <c r="G67" s="39"/>
      <c r="H67" s="39"/>
      <c r="I67" s="39"/>
      <c r="J67" s="39"/>
      <c r="K67" s="39"/>
      <c r="L67" s="40"/>
      <c r="M67" s="19"/>
      <c r="N67" s="19"/>
      <c r="O67" s="19"/>
      <c r="P67" s="32"/>
      <c r="Q67" s="33"/>
      <c r="R67" s="28" t="b">
        <f t="shared" si="0"/>
        <v>0</v>
      </c>
      <c r="S67" s="28" t="b">
        <f t="shared" si="1"/>
        <v>0</v>
      </c>
    </row>
    <row r="68" spans="1:19" x14ac:dyDescent="0.2">
      <c r="A68" s="19"/>
      <c r="B68" s="19"/>
      <c r="C68" s="19"/>
      <c r="D68" s="19"/>
      <c r="E68" s="39"/>
      <c r="F68" s="39"/>
      <c r="G68" s="39"/>
      <c r="H68" s="39"/>
      <c r="I68" s="39"/>
      <c r="J68" s="39"/>
      <c r="K68" s="39"/>
      <c r="L68" s="40"/>
      <c r="M68" s="19"/>
      <c r="N68" s="19"/>
      <c r="O68" s="19"/>
      <c r="P68" s="32"/>
      <c r="Q68" s="33"/>
      <c r="R68" s="28" t="b">
        <f t="shared" ref="R68:R131" si="2">IF($P68&gt;0,$B$17+$B$18*$P68)</f>
        <v>0</v>
      </c>
      <c r="S68" s="28" t="b">
        <f t="shared" ref="S68:S131" si="3">IF($P68&gt;0,$Q68-$R68)</f>
        <v>0</v>
      </c>
    </row>
    <row r="69" spans="1:19" x14ac:dyDescent="0.2">
      <c r="A69" s="19"/>
      <c r="B69" s="19"/>
      <c r="C69" s="19"/>
      <c r="D69" s="19"/>
      <c r="E69" s="39"/>
      <c r="F69" s="39"/>
      <c r="G69" s="39"/>
      <c r="H69" s="39"/>
      <c r="I69" s="39"/>
      <c r="J69" s="39"/>
      <c r="K69" s="39"/>
      <c r="L69" s="40"/>
      <c r="M69" s="19"/>
      <c r="N69" s="19"/>
      <c r="O69" s="19"/>
      <c r="P69" s="32"/>
      <c r="Q69" s="33"/>
      <c r="R69" s="28" t="b">
        <f t="shared" si="2"/>
        <v>0</v>
      </c>
      <c r="S69" s="28" t="b">
        <f t="shared" si="3"/>
        <v>0</v>
      </c>
    </row>
    <row r="70" spans="1:19" x14ac:dyDescent="0.2">
      <c r="A70" s="19"/>
      <c r="B70" s="19"/>
      <c r="C70" s="19"/>
      <c r="D70" s="19"/>
      <c r="E70" s="39"/>
      <c r="F70" s="39"/>
      <c r="G70" s="39"/>
      <c r="H70" s="39"/>
      <c r="I70" s="39"/>
      <c r="J70" s="39"/>
      <c r="K70" s="39"/>
      <c r="L70" s="40"/>
      <c r="M70" s="19"/>
      <c r="N70" s="19"/>
      <c r="O70" s="19"/>
      <c r="P70" s="32"/>
      <c r="Q70" s="33"/>
      <c r="R70" s="28" t="b">
        <f t="shared" si="2"/>
        <v>0</v>
      </c>
      <c r="S70" s="28" t="b">
        <f t="shared" si="3"/>
        <v>0</v>
      </c>
    </row>
    <row r="71" spans="1:19" x14ac:dyDescent="0.2">
      <c r="A71" s="19"/>
      <c r="B71" s="19"/>
      <c r="C71" s="19"/>
      <c r="D71" s="19"/>
      <c r="E71" s="39"/>
      <c r="F71" s="39"/>
      <c r="G71" s="39"/>
      <c r="H71" s="39"/>
      <c r="I71" s="39"/>
      <c r="J71" s="39"/>
      <c r="K71" s="39"/>
      <c r="L71" s="40"/>
      <c r="M71" s="19"/>
      <c r="N71" s="19"/>
      <c r="O71" s="19"/>
      <c r="P71" s="32"/>
      <c r="Q71" s="33"/>
      <c r="R71" s="28" t="b">
        <f t="shared" si="2"/>
        <v>0</v>
      </c>
      <c r="S71" s="28" t="b">
        <f t="shared" si="3"/>
        <v>0</v>
      </c>
    </row>
    <row r="72" spans="1:19" x14ac:dyDescent="0.2">
      <c r="A72" s="19"/>
      <c r="B72" s="19"/>
      <c r="C72" s="19"/>
      <c r="D72" s="19"/>
      <c r="E72" s="39"/>
      <c r="F72" s="39"/>
      <c r="G72" s="39"/>
      <c r="H72" s="39"/>
      <c r="I72" s="39"/>
      <c r="J72" s="39"/>
      <c r="K72" s="39"/>
      <c r="L72" s="40"/>
      <c r="M72" s="19"/>
      <c r="N72" s="19"/>
      <c r="O72" s="19"/>
      <c r="P72" s="32"/>
      <c r="Q72" s="33"/>
      <c r="R72" s="28" t="b">
        <f t="shared" si="2"/>
        <v>0</v>
      </c>
      <c r="S72" s="28" t="b">
        <f t="shared" si="3"/>
        <v>0</v>
      </c>
    </row>
    <row r="73" spans="1:19" x14ac:dyDescent="0.2">
      <c r="A73" s="19"/>
      <c r="B73" s="19"/>
      <c r="C73" s="19"/>
      <c r="D73" s="19"/>
      <c r="E73" s="39"/>
      <c r="F73" s="39"/>
      <c r="G73" s="39"/>
      <c r="H73" s="39"/>
      <c r="I73" s="39"/>
      <c r="J73" s="39"/>
      <c r="K73" s="39"/>
      <c r="L73" s="40"/>
      <c r="M73" s="19"/>
      <c r="N73" s="19"/>
      <c r="O73" s="19"/>
      <c r="P73" s="32"/>
      <c r="Q73" s="33"/>
      <c r="R73" s="28" t="b">
        <f t="shared" si="2"/>
        <v>0</v>
      </c>
      <c r="S73" s="28" t="b">
        <f t="shared" si="3"/>
        <v>0</v>
      </c>
    </row>
    <row r="74" spans="1:19" x14ac:dyDescent="0.2">
      <c r="A74" s="19"/>
      <c r="B74" s="19"/>
      <c r="C74" s="19"/>
      <c r="D74" s="19"/>
      <c r="E74" s="39"/>
      <c r="F74" s="39"/>
      <c r="G74" s="39"/>
      <c r="H74" s="39"/>
      <c r="I74" s="39"/>
      <c r="J74" s="39"/>
      <c r="K74" s="39"/>
      <c r="L74" s="40"/>
      <c r="M74" s="19"/>
      <c r="N74" s="19"/>
      <c r="O74" s="19"/>
      <c r="P74" s="32"/>
      <c r="Q74" s="33"/>
      <c r="R74" s="28" t="b">
        <f t="shared" si="2"/>
        <v>0</v>
      </c>
      <c r="S74" s="28" t="b">
        <f t="shared" si="3"/>
        <v>0</v>
      </c>
    </row>
    <row r="75" spans="1:19" x14ac:dyDescent="0.2">
      <c r="A75" s="19"/>
      <c r="B75" s="19"/>
      <c r="C75" s="19"/>
      <c r="D75" s="19"/>
      <c r="E75" s="39"/>
      <c r="F75" s="39"/>
      <c r="G75" s="39"/>
      <c r="H75" s="39"/>
      <c r="I75" s="39"/>
      <c r="J75" s="39"/>
      <c r="K75" s="39"/>
      <c r="L75" s="40"/>
      <c r="M75" s="19"/>
      <c r="N75" s="19"/>
      <c r="O75" s="19"/>
      <c r="P75" s="32"/>
      <c r="Q75" s="33"/>
      <c r="R75" s="28" t="b">
        <f t="shared" si="2"/>
        <v>0</v>
      </c>
      <c r="S75" s="28" t="b">
        <f t="shared" si="3"/>
        <v>0</v>
      </c>
    </row>
    <row r="76" spans="1:19" x14ac:dyDescent="0.2">
      <c r="A76" s="19"/>
      <c r="B76" s="19"/>
      <c r="C76" s="19"/>
      <c r="D76" s="19"/>
      <c r="E76" s="39"/>
      <c r="F76" s="39"/>
      <c r="G76" s="39"/>
      <c r="H76" s="39"/>
      <c r="I76" s="39"/>
      <c r="J76" s="39"/>
      <c r="K76" s="39"/>
      <c r="L76" s="40"/>
      <c r="M76" s="19"/>
      <c r="N76" s="19"/>
      <c r="O76" s="19"/>
      <c r="P76" s="32"/>
      <c r="Q76" s="33"/>
      <c r="R76" s="28" t="b">
        <f t="shared" si="2"/>
        <v>0</v>
      </c>
      <c r="S76" s="28" t="b">
        <f t="shared" si="3"/>
        <v>0</v>
      </c>
    </row>
    <row r="77" spans="1:19" x14ac:dyDescent="0.2">
      <c r="A77" s="19"/>
      <c r="B77" s="19"/>
      <c r="C77" s="19"/>
      <c r="D77" s="19"/>
      <c r="E77" s="45"/>
      <c r="F77" s="39"/>
      <c r="G77" s="39"/>
      <c r="H77" s="39"/>
      <c r="I77" s="19"/>
      <c r="J77" s="19"/>
      <c r="K77" s="41"/>
      <c r="L77" s="40"/>
      <c r="M77" s="19"/>
      <c r="N77" s="19"/>
      <c r="O77" s="19"/>
      <c r="P77" s="32"/>
      <c r="Q77" s="33"/>
      <c r="R77" s="28" t="b">
        <f t="shared" si="2"/>
        <v>0</v>
      </c>
      <c r="S77" s="28" t="b">
        <f t="shared" si="3"/>
        <v>0</v>
      </c>
    </row>
    <row r="78" spans="1:19" x14ac:dyDescent="0.2">
      <c r="A78" s="19"/>
      <c r="B78" s="19"/>
      <c r="C78" s="19"/>
      <c r="D78" s="19"/>
      <c r="E78" s="45"/>
      <c r="F78" s="39"/>
      <c r="G78" s="39"/>
      <c r="H78" s="39"/>
      <c r="I78" s="42"/>
      <c r="J78" s="43"/>
      <c r="K78" s="41"/>
      <c r="L78" s="40"/>
      <c r="M78" s="19"/>
      <c r="N78" s="19"/>
      <c r="O78" s="19"/>
      <c r="P78" s="32"/>
      <c r="Q78" s="33"/>
      <c r="R78" s="28" t="b">
        <f t="shared" si="2"/>
        <v>0</v>
      </c>
      <c r="S78" s="28" t="b">
        <f t="shared" si="3"/>
        <v>0</v>
      </c>
    </row>
    <row r="79" spans="1:19" x14ac:dyDescent="0.2">
      <c r="A79" s="19"/>
      <c r="B79" s="19"/>
      <c r="C79" s="19"/>
      <c r="D79" s="19"/>
      <c r="E79" s="45"/>
      <c r="F79" s="39"/>
      <c r="G79" s="39"/>
      <c r="H79" s="39"/>
      <c r="I79" s="42"/>
      <c r="J79" s="43"/>
      <c r="K79" s="41"/>
      <c r="L79" s="40"/>
      <c r="M79" s="19"/>
      <c r="N79" s="19"/>
      <c r="O79" s="19"/>
      <c r="P79" s="32"/>
      <c r="Q79" s="33"/>
      <c r="R79" s="28" t="b">
        <f t="shared" si="2"/>
        <v>0</v>
      </c>
      <c r="S79" s="28" t="b">
        <f t="shared" si="3"/>
        <v>0</v>
      </c>
    </row>
    <row r="80" spans="1:19" x14ac:dyDescent="0.2">
      <c r="A80" s="19"/>
      <c r="B80" s="19"/>
      <c r="C80" s="19"/>
      <c r="D80" s="19"/>
      <c r="E80" s="45"/>
      <c r="F80" s="39"/>
      <c r="G80" s="39"/>
      <c r="H80" s="39"/>
      <c r="I80" s="42"/>
      <c r="J80" s="43"/>
      <c r="K80" s="41"/>
      <c r="L80" s="40"/>
      <c r="M80" s="19"/>
      <c r="N80" s="19"/>
      <c r="O80" s="19"/>
      <c r="P80" s="32"/>
      <c r="Q80" s="33"/>
      <c r="R80" s="28" t="b">
        <f t="shared" si="2"/>
        <v>0</v>
      </c>
      <c r="S80" s="28" t="b">
        <f t="shared" si="3"/>
        <v>0</v>
      </c>
    </row>
    <row r="81" spans="1:19" x14ac:dyDescent="0.2">
      <c r="A81" s="19"/>
      <c r="B81" s="19"/>
      <c r="C81" s="19"/>
      <c r="D81" s="19"/>
      <c r="E81" s="46"/>
      <c r="F81" s="39"/>
      <c r="G81" s="39"/>
      <c r="H81" s="39"/>
      <c r="I81" s="43"/>
      <c r="J81" s="43"/>
      <c r="K81" s="26"/>
      <c r="L81" s="26"/>
      <c r="M81" s="19"/>
      <c r="N81" s="19"/>
      <c r="O81" s="19"/>
      <c r="P81" s="32"/>
      <c r="Q81" s="33"/>
      <c r="R81" s="28" t="b">
        <f t="shared" si="2"/>
        <v>0</v>
      </c>
      <c r="S81" s="28" t="b">
        <f t="shared" si="3"/>
        <v>0</v>
      </c>
    </row>
    <row r="82" spans="1:19" x14ac:dyDescent="0.2">
      <c r="A82" s="19"/>
      <c r="B82" s="19"/>
      <c r="C82" s="19"/>
      <c r="D82" s="19"/>
      <c r="E82" s="26"/>
      <c r="F82" s="39"/>
      <c r="G82" s="39"/>
      <c r="H82" s="39"/>
      <c r="I82" s="26"/>
      <c r="J82" s="26"/>
      <c r="K82" s="26"/>
      <c r="L82" s="26"/>
      <c r="M82" s="19"/>
      <c r="N82" s="19"/>
      <c r="O82" s="19"/>
      <c r="P82" s="32"/>
      <c r="Q82" s="33"/>
      <c r="R82" s="28" t="b">
        <f t="shared" si="2"/>
        <v>0</v>
      </c>
      <c r="S82" s="28" t="b">
        <f t="shared" si="3"/>
        <v>0</v>
      </c>
    </row>
    <row r="83" spans="1:19" x14ac:dyDescent="0.2">
      <c r="A83" s="19"/>
      <c r="B83" s="19"/>
      <c r="C83" s="19"/>
      <c r="D83" s="19"/>
      <c r="E83" s="26"/>
      <c r="F83" s="39"/>
      <c r="G83" s="39"/>
      <c r="H83" s="39"/>
      <c r="I83" s="26"/>
      <c r="J83" s="26"/>
      <c r="K83" s="26"/>
      <c r="L83" s="26"/>
      <c r="M83" s="19"/>
      <c r="N83" s="19"/>
      <c r="O83" s="19"/>
      <c r="P83" s="32"/>
      <c r="Q83" s="33"/>
      <c r="R83" s="28" t="b">
        <f t="shared" si="2"/>
        <v>0</v>
      </c>
      <c r="S83" s="28" t="b">
        <f t="shared" si="3"/>
        <v>0</v>
      </c>
    </row>
    <row r="84" spans="1:19" x14ac:dyDescent="0.2">
      <c r="A84" s="19"/>
      <c r="B84" s="19"/>
      <c r="C84" s="19"/>
      <c r="D84" s="19"/>
      <c r="E84" s="19"/>
      <c r="F84" s="39"/>
      <c r="G84" s="39"/>
      <c r="H84" s="39"/>
      <c r="I84" s="19"/>
      <c r="J84" s="19"/>
      <c r="K84" s="19"/>
      <c r="L84" s="19"/>
      <c r="M84" s="19"/>
      <c r="N84" s="19"/>
      <c r="O84" s="19"/>
      <c r="P84" s="32"/>
      <c r="Q84" s="33"/>
      <c r="R84" s="28" t="b">
        <f t="shared" si="2"/>
        <v>0</v>
      </c>
      <c r="S84" s="28" t="b">
        <f t="shared" si="3"/>
        <v>0</v>
      </c>
    </row>
    <row r="85" spans="1:19" x14ac:dyDescent="0.2">
      <c r="A85" s="19"/>
      <c r="B85" s="19"/>
      <c r="C85" s="19"/>
      <c r="D85" s="19"/>
      <c r="E85" s="19"/>
      <c r="F85" s="39"/>
      <c r="G85" s="39"/>
      <c r="H85" s="39"/>
      <c r="I85" s="19"/>
      <c r="J85" s="19"/>
      <c r="K85" s="19"/>
      <c r="L85" s="19"/>
      <c r="M85" s="19"/>
      <c r="N85" s="19"/>
      <c r="O85" s="19"/>
      <c r="P85" s="32"/>
      <c r="Q85" s="33"/>
      <c r="R85" s="28" t="b">
        <f t="shared" si="2"/>
        <v>0</v>
      </c>
      <c r="S85" s="28" t="b">
        <f t="shared" si="3"/>
        <v>0</v>
      </c>
    </row>
    <row r="86" spans="1:19" x14ac:dyDescent="0.2">
      <c r="A86" s="19"/>
      <c r="B86" s="19"/>
      <c r="C86" s="19"/>
      <c r="D86" s="19"/>
      <c r="E86" s="19"/>
      <c r="F86" s="39"/>
      <c r="G86" s="39"/>
      <c r="H86" s="39"/>
      <c r="I86" s="19"/>
      <c r="J86" s="19"/>
      <c r="K86" s="19"/>
      <c r="L86" s="19"/>
      <c r="M86" s="19"/>
      <c r="N86" s="19"/>
      <c r="O86" s="19"/>
      <c r="P86" s="32"/>
      <c r="Q86" s="33"/>
      <c r="R86" s="28" t="b">
        <f t="shared" si="2"/>
        <v>0</v>
      </c>
      <c r="S86" s="28" t="b">
        <f t="shared" si="3"/>
        <v>0</v>
      </c>
    </row>
    <row r="87" spans="1:19" x14ac:dyDescent="0.2">
      <c r="A87" s="19"/>
      <c r="B87" s="19"/>
      <c r="C87" s="19"/>
      <c r="D87" s="19"/>
      <c r="E87" s="19"/>
      <c r="F87" s="39"/>
      <c r="G87" s="39"/>
      <c r="H87" s="39"/>
      <c r="I87" s="19"/>
      <c r="J87" s="19"/>
      <c r="K87" s="19"/>
      <c r="L87" s="19"/>
      <c r="M87" s="19"/>
      <c r="N87" s="19"/>
      <c r="O87" s="19"/>
      <c r="P87" s="32"/>
      <c r="Q87" s="33"/>
      <c r="R87" s="28" t="b">
        <f t="shared" si="2"/>
        <v>0</v>
      </c>
      <c r="S87" s="28" t="b">
        <f t="shared" si="3"/>
        <v>0</v>
      </c>
    </row>
    <row r="88" spans="1:19" x14ac:dyDescent="0.2">
      <c r="A88" s="19"/>
      <c r="B88" s="19"/>
      <c r="C88" s="19"/>
      <c r="D88" s="19"/>
      <c r="E88" s="19"/>
      <c r="F88" s="39"/>
      <c r="G88" s="39"/>
      <c r="H88" s="39"/>
      <c r="I88" s="19"/>
      <c r="J88" s="19"/>
      <c r="K88" s="19"/>
      <c r="L88" s="19"/>
      <c r="M88" s="19"/>
      <c r="N88" s="19"/>
      <c r="O88" s="19"/>
      <c r="P88" s="32"/>
      <c r="Q88" s="33"/>
      <c r="R88" s="28" t="b">
        <f t="shared" si="2"/>
        <v>0</v>
      </c>
      <c r="S88" s="28" t="b">
        <f t="shared" si="3"/>
        <v>0</v>
      </c>
    </row>
    <row r="89" spans="1:19" x14ac:dyDescent="0.2">
      <c r="A89" s="19"/>
      <c r="B89" s="19"/>
      <c r="C89" s="19"/>
      <c r="D89" s="19"/>
      <c r="E89" s="19"/>
      <c r="F89" s="39"/>
      <c r="G89" s="39"/>
      <c r="H89" s="39"/>
      <c r="I89" s="19"/>
      <c r="J89" s="19"/>
      <c r="K89" s="19"/>
      <c r="L89" s="19"/>
      <c r="M89" s="19"/>
      <c r="N89" s="19"/>
      <c r="O89" s="19"/>
      <c r="P89" s="32"/>
      <c r="Q89" s="33"/>
      <c r="R89" s="28" t="b">
        <f t="shared" si="2"/>
        <v>0</v>
      </c>
      <c r="S89" s="28" t="b">
        <f t="shared" si="3"/>
        <v>0</v>
      </c>
    </row>
    <row r="90" spans="1:19" x14ac:dyDescent="0.2">
      <c r="A90" s="19"/>
      <c r="B90" s="19"/>
      <c r="C90" s="19"/>
      <c r="D90" s="19"/>
      <c r="E90" s="19"/>
      <c r="F90" s="39"/>
      <c r="G90" s="39"/>
      <c r="H90" s="39"/>
      <c r="I90" s="19"/>
      <c r="J90" s="19"/>
      <c r="K90" s="19"/>
      <c r="L90" s="19"/>
      <c r="M90" s="19"/>
      <c r="N90" s="19"/>
      <c r="O90" s="19"/>
      <c r="P90" s="32"/>
      <c r="Q90" s="33"/>
      <c r="R90" s="28" t="b">
        <f t="shared" si="2"/>
        <v>0</v>
      </c>
      <c r="S90" s="28" t="b">
        <f t="shared" si="3"/>
        <v>0</v>
      </c>
    </row>
    <row r="91" spans="1:19" x14ac:dyDescent="0.2">
      <c r="A91" s="19"/>
      <c r="B91" s="19"/>
      <c r="C91" s="19"/>
      <c r="D91" s="19"/>
      <c r="E91" s="19"/>
      <c r="F91" s="39"/>
      <c r="G91" s="39"/>
      <c r="H91" s="39"/>
      <c r="I91" s="19"/>
      <c r="J91" s="19"/>
      <c r="K91" s="19"/>
      <c r="L91" s="19"/>
      <c r="M91" s="19"/>
      <c r="N91" s="19"/>
      <c r="O91" s="19"/>
      <c r="P91" s="32"/>
      <c r="Q91" s="33"/>
      <c r="R91" s="28" t="b">
        <f t="shared" si="2"/>
        <v>0</v>
      </c>
      <c r="S91" s="28" t="b">
        <f t="shared" si="3"/>
        <v>0</v>
      </c>
    </row>
    <row r="92" spans="1:19" x14ac:dyDescent="0.2">
      <c r="A92" s="19"/>
      <c r="B92" s="19"/>
      <c r="C92" s="19"/>
      <c r="D92" s="19"/>
      <c r="E92" s="19"/>
      <c r="F92" s="39"/>
      <c r="G92" s="39"/>
      <c r="H92" s="39"/>
      <c r="I92" s="19"/>
      <c r="J92" s="19"/>
      <c r="K92" s="19"/>
      <c r="L92" s="19"/>
      <c r="M92" s="19"/>
      <c r="N92" s="19"/>
      <c r="O92" s="19"/>
      <c r="P92" s="32"/>
      <c r="Q92" s="33"/>
      <c r="R92" s="28" t="b">
        <f t="shared" si="2"/>
        <v>0</v>
      </c>
      <c r="S92" s="28" t="b">
        <f t="shared" si="3"/>
        <v>0</v>
      </c>
    </row>
    <row r="93" spans="1:19" x14ac:dyDescent="0.2">
      <c r="A93" s="19"/>
      <c r="B93" s="19"/>
      <c r="C93" s="19"/>
      <c r="D93" s="19"/>
      <c r="E93" s="19"/>
      <c r="F93" s="39"/>
      <c r="G93" s="39"/>
      <c r="H93" s="39"/>
      <c r="I93" s="19"/>
      <c r="J93" s="19"/>
      <c r="K93" s="19"/>
      <c r="L93" s="19"/>
      <c r="M93" s="19"/>
      <c r="N93" s="19"/>
      <c r="O93" s="19"/>
      <c r="P93" s="32"/>
      <c r="Q93" s="33"/>
      <c r="R93" s="28" t="b">
        <f t="shared" si="2"/>
        <v>0</v>
      </c>
      <c r="S93" s="28" t="b">
        <f t="shared" si="3"/>
        <v>0</v>
      </c>
    </row>
    <row r="94" spans="1:19" x14ac:dyDescent="0.2">
      <c r="A94" s="19"/>
      <c r="B94" s="19"/>
      <c r="C94" s="19"/>
      <c r="D94" s="19"/>
      <c r="E94" s="19"/>
      <c r="F94" s="39"/>
      <c r="G94" s="39"/>
      <c r="H94" s="39"/>
      <c r="I94" s="44"/>
      <c r="J94" s="44"/>
      <c r="K94" s="19"/>
      <c r="L94" s="19"/>
      <c r="M94" s="19"/>
      <c r="N94" s="19"/>
      <c r="O94" s="19"/>
      <c r="P94" s="32"/>
      <c r="Q94" s="33"/>
      <c r="R94" s="28" t="b">
        <f t="shared" si="2"/>
        <v>0</v>
      </c>
      <c r="S94" s="28" t="b">
        <f t="shared" si="3"/>
        <v>0</v>
      </c>
    </row>
    <row r="95" spans="1:19" x14ac:dyDescent="0.2">
      <c r="A95" s="19"/>
      <c r="B95" s="19"/>
      <c r="C95" s="19"/>
      <c r="D95" s="19"/>
      <c r="E95" s="19"/>
      <c r="F95" s="39"/>
      <c r="G95" s="39"/>
      <c r="H95" s="39"/>
      <c r="I95" s="19"/>
      <c r="J95" s="19"/>
      <c r="K95" s="19"/>
      <c r="L95" s="19"/>
      <c r="M95" s="19"/>
      <c r="N95" s="19"/>
      <c r="O95" s="19"/>
      <c r="P95" s="32"/>
      <c r="Q95" s="33"/>
      <c r="R95" s="28" t="b">
        <f t="shared" si="2"/>
        <v>0</v>
      </c>
      <c r="S95" s="28" t="b">
        <f t="shared" si="3"/>
        <v>0</v>
      </c>
    </row>
    <row r="96" spans="1:19" x14ac:dyDescent="0.2">
      <c r="A96" s="19"/>
      <c r="B96" s="19"/>
      <c r="C96" s="19"/>
      <c r="D96" s="19"/>
      <c r="E96" s="19"/>
      <c r="F96" s="39"/>
      <c r="G96" s="39"/>
      <c r="H96" s="39"/>
      <c r="I96" s="19"/>
      <c r="J96" s="19"/>
      <c r="K96" s="19"/>
      <c r="L96" s="19"/>
      <c r="M96" s="19"/>
      <c r="N96" s="19"/>
      <c r="O96" s="19"/>
      <c r="P96" s="32"/>
      <c r="Q96" s="33"/>
      <c r="R96" s="28" t="b">
        <f t="shared" si="2"/>
        <v>0</v>
      </c>
      <c r="S96" s="28" t="b">
        <f t="shared" si="3"/>
        <v>0</v>
      </c>
    </row>
    <row r="97" spans="1:19" x14ac:dyDescent="0.2">
      <c r="A97" s="19"/>
      <c r="B97" s="19"/>
      <c r="C97" s="19"/>
      <c r="D97" s="19"/>
      <c r="E97" s="19"/>
      <c r="F97" s="39"/>
      <c r="G97" s="39"/>
      <c r="H97" s="39"/>
      <c r="I97" s="19"/>
      <c r="J97" s="19"/>
      <c r="K97" s="19"/>
      <c r="L97" s="19"/>
      <c r="M97" s="19"/>
      <c r="N97" s="19"/>
      <c r="O97" s="19"/>
      <c r="P97" s="32"/>
      <c r="Q97" s="33"/>
      <c r="R97" s="28" t="b">
        <f t="shared" si="2"/>
        <v>0</v>
      </c>
      <c r="S97" s="28" t="b">
        <f t="shared" si="3"/>
        <v>0</v>
      </c>
    </row>
    <row r="98" spans="1:19" x14ac:dyDescent="0.2">
      <c r="A98" s="19"/>
      <c r="B98" s="19"/>
      <c r="C98" s="19"/>
      <c r="D98" s="19"/>
      <c r="E98" s="19"/>
      <c r="F98" s="39"/>
      <c r="G98" s="39"/>
      <c r="H98" s="39"/>
      <c r="I98" s="19"/>
      <c r="J98" s="19"/>
      <c r="K98" s="19"/>
      <c r="L98" s="19"/>
      <c r="M98" s="19"/>
      <c r="N98" s="19"/>
      <c r="O98" s="19"/>
      <c r="P98" s="32"/>
      <c r="Q98" s="33"/>
      <c r="R98" s="28" t="b">
        <f t="shared" si="2"/>
        <v>0</v>
      </c>
      <c r="S98" s="28" t="b">
        <f t="shared" si="3"/>
        <v>0</v>
      </c>
    </row>
    <row r="99" spans="1:19" x14ac:dyDescent="0.2">
      <c r="A99" s="19"/>
      <c r="B99" s="19"/>
      <c r="C99" s="19"/>
      <c r="D99" s="19"/>
      <c r="E99" s="19"/>
      <c r="F99" s="39"/>
      <c r="G99" s="39"/>
      <c r="H99" s="39"/>
      <c r="I99" s="19"/>
      <c r="J99" s="19"/>
      <c r="K99" s="19"/>
      <c r="L99" s="19"/>
      <c r="M99" s="19"/>
      <c r="N99" s="19"/>
      <c r="O99" s="19"/>
      <c r="P99" s="32"/>
      <c r="Q99" s="33"/>
      <c r="R99" s="28" t="b">
        <f t="shared" si="2"/>
        <v>0</v>
      </c>
      <c r="S99" s="28" t="b">
        <f t="shared" si="3"/>
        <v>0</v>
      </c>
    </row>
    <row r="100" spans="1:19" x14ac:dyDescent="0.2">
      <c r="B100" s="5" t="s">
        <v>55</v>
      </c>
      <c r="H100" s="15"/>
      <c r="I100" s="19"/>
      <c r="J100" s="19"/>
      <c r="K100" s="19"/>
      <c r="L100" s="19"/>
      <c r="M100" s="19"/>
      <c r="N100" s="19"/>
      <c r="O100" s="19"/>
      <c r="P100" s="32"/>
      <c r="Q100" s="33"/>
      <c r="R100" s="28" t="b">
        <f t="shared" si="2"/>
        <v>0</v>
      </c>
      <c r="S100" s="28" t="b">
        <f t="shared" si="3"/>
        <v>0</v>
      </c>
    </row>
    <row r="101" spans="1:19" x14ac:dyDescent="0.2">
      <c r="A101" s="122"/>
      <c r="B101" s="88"/>
      <c r="C101" s="66" t="s">
        <v>56</v>
      </c>
      <c r="D101" s="66" t="s">
        <v>28</v>
      </c>
      <c r="E101" s="66" t="s">
        <v>64</v>
      </c>
      <c r="F101" s="66" t="s">
        <v>62</v>
      </c>
      <c r="G101" s="66" t="s">
        <v>66</v>
      </c>
      <c r="H101" s="15"/>
      <c r="I101" s="19"/>
      <c r="J101" s="19"/>
      <c r="K101" s="19"/>
      <c r="L101" s="19"/>
      <c r="M101" s="19"/>
      <c r="N101" s="19"/>
      <c r="O101" s="19"/>
      <c r="P101" s="32"/>
      <c r="Q101" s="33"/>
      <c r="R101" s="28" t="b">
        <f t="shared" si="2"/>
        <v>0</v>
      </c>
      <c r="S101" s="28" t="b">
        <f t="shared" si="3"/>
        <v>0</v>
      </c>
    </row>
    <row r="102" spans="1:19" x14ac:dyDescent="0.2">
      <c r="A102" s="67">
        <v>1</v>
      </c>
      <c r="B102" s="67">
        <f>A102+$B$32</f>
        <v>1</v>
      </c>
      <c r="C102" s="81" t="e">
        <f>MAX($B$17+$A$102*$B$18+$B$28+0.5*$B$6,$B$6)</f>
        <v>#DIV/0!</v>
      </c>
      <c r="D102" s="81" t="e">
        <f>$B$17+$A$102*$B$18+$B$27</f>
        <v>#DIV/0!</v>
      </c>
      <c r="E102" s="81" t="e">
        <f>MAX($B$17+$B$18*($B$35-$B$32)+$B$28+0.5*$B$6,$B$6)</f>
        <v>#DIV/0!</v>
      </c>
      <c r="F102" s="123">
        <f>MAX($P$3:$P$252)</f>
        <v>0</v>
      </c>
      <c r="G102" s="124" t="e">
        <f>MAX($B$17+$F$102*$B$18+$B$28+0.5*$B$6,$B$6)</f>
        <v>#DIV/0!</v>
      </c>
      <c r="H102" s="15"/>
      <c r="I102" s="19"/>
      <c r="J102" s="19"/>
      <c r="K102" s="19"/>
      <c r="L102" s="19"/>
      <c r="M102" s="19"/>
      <c r="N102" s="19"/>
      <c r="O102" s="19"/>
      <c r="P102" s="32"/>
      <c r="Q102" s="33"/>
      <c r="R102" s="28" t="b">
        <f t="shared" si="2"/>
        <v>0</v>
      </c>
      <c r="S102" s="28" t="b">
        <f t="shared" si="3"/>
        <v>0</v>
      </c>
    </row>
    <row r="103" spans="1:19" x14ac:dyDescent="0.2">
      <c r="A103" s="125" t="e">
        <f>(0.5*$B$6-$B$28-$B$17)/$B$18</f>
        <v>#DIV/0!</v>
      </c>
      <c r="B103" s="125" t="e">
        <f>$A103+$B$32</f>
        <v>#DIV/0!</v>
      </c>
      <c r="C103" s="81">
        <f>$B$6</f>
        <v>0</v>
      </c>
      <c r="D103" s="81" t="e">
        <f>$B$17+$A$103*$B$18+$B$27</f>
        <v>#DIV/0!</v>
      </c>
      <c r="E103" s="81" t="e">
        <f>MAX($B$17+$B$18*($C$35-$B$32)+$B$28+0.5*$B$6,$B$6)</f>
        <v>#DIV/0!</v>
      </c>
      <c r="F103" s="125">
        <f>$A$104</f>
        <v>44196</v>
      </c>
      <c r="G103" s="124" t="e">
        <f>$G$102</f>
        <v>#DIV/0!</v>
      </c>
      <c r="H103" s="15"/>
      <c r="I103" s="19"/>
      <c r="J103" s="19"/>
      <c r="K103" s="19"/>
      <c r="L103" s="19"/>
      <c r="M103" s="19"/>
      <c r="N103" s="19"/>
      <c r="O103" s="19"/>
      <c r="P103" s="32"/>
      <c r="Q103" s="33"/>
      <c r="R103" s="28" t="b">
        <f t="shared" si="2"/>
        <v>0</v>
      </c>
      <c r="S103" s="28" t="b">
        <f t="shared" si="3"/>
        <v>0</v>
      </c>
    </row>
    <row r="104" spans="1:19" x14ac:dyDescent="0.2">
      <c r="A104" s="67">
        <v>44196</v>
      </c>
      <c r="B104" s="67">
        <f>$A104+$B$32</f>
        <v>44196</v>
      </c>
      <c r="C104" s="124" t="e">
        <f>MAX($B$17+$A$104*$B$18+$B$28+0.5*$B$6,$B$6)</f>
        <v>#DIV/0!</v>
      </c>
      <c r="D104" s="124" t="e">
        <f>$B$17+$A$104*$B$18+$B$27</f>
        <v>#DIV/0!</v>
      </c>
      <c r="E104" s="88"/>
      <c r="F104" s="88"/>
      <c r="G104" s="126"/>
      <c r="H104" s="15"/>
      <c r="I104" s="19"/>
      <c r="J104" s="19"/>
      <c r="K104" s="19"/>
      <c r="L104" s="19"/>
      <c r="M104" s="19"/>
      <c r="N104" s="19"/>
      <c r="O104" s="19"/>
      <c r="P104" s="32"/>
      <c r="Q104" s="33"/>
      <c r="R104" s="28" t="b">
        <f t="shared" si="2"/>
        <v>0</v>
      </c>
      <c r="S104" s="28" t="b">
        <f t="shared" si="3"/>
        <v>0</v>
      </c>
    </row>
    <row r="105" spans="1:19" x14ac:dyDescent="0.2">
      <c r="A105" s="125">
        <f>$B$35</f>
        <v>0</v>
      </c>
      <c r="B105" s="125">
        <f>$C$35</f>
        <v>0</v>
      </c>
      <c r="C105" s="127">
        <v>0</v>
      </c>
      <c r="D105" s="128"/>
      <c r="E105" s="66" t="s">
        <v>65</v>
      </c>
      <c r="F105" s="88"/>
      <c r="G105" s="126"/>
      <c r="H105" s="15"/>
      <c r="I105" s="19"/>
      <c r="J105" s="19"/>
      <c r="K105" s="19"/>
      <c r="L105" s="19"/>
      <c r="M105" s="19"/>
      <c r="N105" s="19"/>
      <c r="O105" s="19"/>
      <c r="P105" s="32"/>
      <c r="Q105" s="33"/>
      <c r="R105" s="28" t="b">
        <f t="shared" si="2"/>
        <v>0</v>
      </c>
      <c r="S105" s="28" t="b">
        <f t="shared" si="3"/>
        <v>0</v>
      </c>
    </row>
    <row r="106" spans="1:19" x14ac:dyDescent="0.2">
      <c r="A106" s="125">
        <f>$B$35</f>
        <v>0</v>
      </c>
      <c r="B106" s="125">
        <f>$C$35</f>
        <v>0</v>
      </c>
      <c r="C106" s="127">
        <v>100000</v>
      </c>
      <c r="D106" s="128"/>
      <c r="E106" s="124" t="e">
        <f>$B$41</f>
        <v>#DIV/0!</v>
      </c>
      <c r="F106" s="128"/>
      <c r="G106" s="126"/>
      <c r="H106" s="15"/>
      <c r="I106" s="19"/>
      <c r="J106" s="19"/>
      <c r="K106" s="19"/>
      <c r="L106" s="19"/>
      <c r="M106" s="19"/>
      <c r="N106" s="19"/>
      <c r="O106" s="19"/>
      <c r="P106" s="32"/>
      <c r="Q106" s="33"/>
      <c r="R106" s="28" t="b">
        <f t="shared" si="2"/>
        <v>0</v>
      </c>
      <c r="S106" s="28" t="b">
        <f t="shared" si="3"/>
        <v>0</v>
      </c>
    </row>
    <row r="107" spans="1:19" x14ac:dyDescent="0.2">
      <c r="A107" s="128"/>
      <c r="B107" s="88"/>
      <c r="C107" s="88"/>
      <c r="D107" s="128"/>
      <c r="E107" s="124" t="e">
        <f>$B$41</f>
        <v>#DIV/0!</v>
      </c>
      <c r="F107" s="128"/>
      <c r="G107" s="126"/>
      <c r="H107" s="15"/>
      <c r="I107" s="19"/>
      <c r="J107" s="19"/>
      <c r="K107" s="19"/>
      <c r="L107" s="19"/>
      <c r="M107" s="19"/>
      <c r="N107" s="19"/>
      <c r="O107" s="19"/>
      <c r="P107" s="32"/>
      <c r="Q107" s="33"/>
      <c r="R107" s="28" t="b">
        <f t="shared" si="2"/>
        <v>0</v>
      </c>
      <c r="S107" s="28" t="b">
        <f t="shared" si="3"/>
        <v>0</v>
      </c>
    </row>
    <row r="108" spans="1:19" x14ac:dyDescent="0.2">
      <c r="A108" s="88"/>
      <c r="B108" s="88"/>
      <c r="C108" s="88"/>
      <c r="D108" s="88"/>
      <c r="E108" s="88"/>
      <c r="F108" s="128"/>
      <c r="G108" s="126"/>
      <c r="H108" s="15"/>
      <c r="I108" s="19"/>
      <c r="J108" s="19"/>
      <c r="K108" s="19"/>
      <c r="L108" s="19"/>
      <c r="M108" s="19"/>
      <c r="N108" s="19"/>
      <c r="O108" s="19"/>
      <c r="P108" s="32"/>
      <c r="Q108" s="33"/>
      <c r="R108" s="28" t="b">
        <f t="shared" si="2"/>
        <v>0</v>
      </c>
      <c r="S108" s="28" t="b">
        <f t="shared" si="3"/>
        <v>0</v>
      </c>
    </row>
    <row r="109" spans="1:19" x14ac:dyDescent="0.2">
      <c r="A109" s="88"/>
      <c r="B109" s="88"/>
      <c r="C109" s="88"/>
      <c r="D109" s="88"/>
      <c r="E109" s="88"/>
      <c r="F109" s="128"/>
      <c r="G109" s="126"/>
      <c r="H109" s="15"/>
      <c r="I109" s="19"/>
      <c r="J109" s="19"/>
      <c r="K109" s="19"/>
      <c r="L109" s="19"/>
      <c r="M109" s="19"/>
      <c r="N109" s="19"/>
      <c r="O109" s="19"/>
      <c r="P109" s="32"/>
      <c r="Q109" s="33"/>
      <c r="R109" s="28" t="b">
        <f t="shared" si="2"/>
        <v>0</v>
      </c>
      <c r="S109" s="28" t="b">
        <f t="shared" si="3"/>
        <v>0</v>
      </c>
    </row>
    <row r="110" spans="1:19" x14ac:dyDescent="0.2">
      <c r="A110" s="88"/>
      <c r="B110" s="88"/>
      <c r="C110" s="88"/>
      <c r="D110" s="88"/>
      <c r="E110" s="88"/>
      <c r="F110" s="128"/>
      <c r="G110" s="126"/>
      <c r="H110" s="15"/>
      <c r="I110" s="19"/>
      <c r="J110" s="19"/>
      <c r="K110" s="19"/>
      <c r="L110" s="19"/>
      <c r="M110" s="19"/>
      <c r="N110" s="19"/>
      <c r="O110" s="19"/>
      <c r="P110" s="32"/>
      <c r="Q110" s="33"/>
      <c r="R110" s="28" t="b">
        <f t="shared" si="2"/>
        <v>0</v>
      </c>
      <c r="S110" s="28" t="b">
        <f t="shared" si="3"/>
        <v>0</v>
      </c>
    </row>
    <row r="111" spans="1:19" x14ac:dyDescent="0.2">
      <c r="A111" s="88"/>
      <c r="B111" s="88"/>
      <c r="C111" s="66" t="s">
        <v>50</v>
      </c>
      <c r="D111" s="76" t="b">
        <f>IF($B$9&gt;3,INDEX(XX!$C$4:'XX'!$C$150,$B$9))</f>
        <v>0</v>
      </c>
      <c r="E111" s="76" t="b">
        <f>IF($B$9&gt;3,INDEX(XX!$D$4:'XX'!$D$150,$B$9))</f>
        <v>0</v>
      </c>
      <c r="F111" s="128"/>
      <c r="G111" s="126"/>
      <c r="H111" s="15"/>
      <c r="I111" s="19"/>
      <c r="J111" s="19"/>
      <c r="K111" s="19"/>
      <c r="L111" s="19"/>
      <c r="M111" s="19"/>
      <c r="N111" s="19"/>
      <c r="O111" s="19"/>
      <c r="P111" s="32"/>
      <c r="Q111" s="33"/>
      <c r="R111" s="28" t="b">
        <f t="shared" si="2"/>
        <v>0</v>
      </c>
      <c r="S111" s="28" t="b">
        <f t="shared" si="3"/>
        <v>0</v>
      </c>
    </row>
    <row r="112" spans="1:19" x14ac:dyDescent="0.2">
      <c r="A112" s="88"/>
      <c r="B112" s="88"/>
      <c r="C112" s="66" t="s">
        <v>51</v>
      </c>
      <c r="D112" s="129" t="s">
        <v>52</v>
      </c>
      <c r="E112" s="129" t="s">
        <v>53</v>
      </c>
      <c r="F112" s="128"/>
      <c r="G112" s="126"/>
      <c r="H112" s="15"/>
      <c r="I112" s="19"/>
      <c r="J112" s="19"/>
      <c r="K112" s="19"/>
      <c r="L112" s="19"/>
      <c r="M112" s="19"/>
      <c r="N112" s="19"/>
      <c r="O112" s="19"/>
      <c r="P112" s="32"/>
      <c r="Q112" s="33"/>
      <c r="R112" s="28" t="b">
        <f t="shared" si="2"/>
        <v>0</v>
      </c>
      <c r="S112" s="28" t="b">
        <f t="shared" si="3"/>
        <v>0</v>
      </c>
    </row>
    <row r="113" spans="1:19" x14ac:dyDescent="0.2">
      <c r="A113" s="66" t="s">
        <v>40</v>
      </c>
      <c r="B113" s="89" t="e">
        <f>MIN($A$50:$A$199)</f>
        <v>#DIV/0!</v>
      </c>
      <c r="C113" s="88"/>
      <c r="D113" s="76" t="e">
        <f>IF((ABS($B$16)&gt;$I$58)*AND(ABS($B$16)&lt;$J$58),#REF!+#REF!*B113,0)</f>
        <v>#DIV/0!</v>
      </c>
      <c r="E113" s="76" t="e">
        <f>IF((ABS($B$16)&gt;$J$58),$B$17+$B$18*$B113,0)</f>
        <v>#DIV/0!</v>
      </c>
      <c r="F113" s="128"/>
      <c r="G113" s="126"/>
      <c r="H113" s="15"/>
      <c r="I113" s="19"/>
      <c r="J113" s="19"/>
      <c r="K113" s="19"/>
      <c r="L113" s="19"/>
      <c r="M113" s="19"/>
      <c r="N113" s="19"/>
      <c r="O113" s="19"/>
      <c r="P113" s="32"/>
      <c r="Q113" s="33"/>
      <c r="R113" s="28" t="b">
        <f t="shared" si="2"/>
        <v>0</v>
      </c>
      <c r="S113" s="28" t="b">
        <f t="shared" si="3"/>
        <v>0</v>
      </c>
    </row>
    <row r="114" spans="1:19" x14ac:dyDescent="0.2">
      <c r="A114" s="66" t="s">
        <v>41</v>
      </c>
      <c r="B114" s="89">
        <f>MAX($P$3:$P$252)</f>
        <v>0</v>
      </c>
      <c r="C114" s="88"/>
      <c r="D114" s="76" t="e">
        <f>IF((ABS($B$16)&gt;$I$58)*AND(ABS($B$16)&lt;$J$58),#REF!+#REF!*B114,0)</f>
        <v>#DIV/0!</v>
      </c>
      <c r="E114" s="76" t="e">
        <f>IF((ABS($B$16)&gt;$E$111),$B$17+$B$18*$B114,0)</f>
        <v>#DIV/0!</v>
      </c>
      <c r="F114" s="128"/>
      <c r="G114" s="126"/>
      <c r="H114" s="15"/>
      <c r="I114" s="19"/>
      <c r="J114" s="19"/>
      <c r="K114" s="19"/>
      <c r="L114" s="19"/>
      <c r="M114" s="19"/>
      <c r="N114" s="19"/>
      <c r="O114" s="19"/>
      <c r="P114" s="32"/>
      <c r="Q114" s="33"/>
      <c r="R114" s="28" t="b">
        <f t="shared" si="2"/>
        <v>0</v>
      </c>
      <c r="S114" s="28" t="b">
        <f t="shared" si="3"/>
        <v>0</v>
      </c>
    </row>
    <row r="115" spans="1:19" x14ac:dyDescent="0.2">
      <c r="F115" s="15"/>
      <c r="G115" s="15"/>
      <c r="H115" s="15"/>
      <c r="I115" s="19"/>
      <c r="J115" s="19"/>
      <c r="K115" s="19"/>
      <c r="L115" s="19"/>
      <c r="M115" s="19"/>
      <c r="N115" s="19"/>
      <c r="O115" s="19"/>
      <c r="P115" s="32"/>
      <c r="Q115" s="33"/>
      <c r="R115" s="28" t="b">
        <f t="shared" si="2"/>
        <v>0</v>
      </c>
      <c r="S115" s="28" t="b">
        <f t="shared" si="3"/>
        <v>0</v>
      </c>
    </row>
    <row r="116" spans="1:19" x14ac:dyDescent="0.2">
      <c r="F116" s="15"/>
      <c r="G116" s="15"/>
      <c r="H116" s="15"/>
      <c r="I116" s="19"/>
      <c r="J116" s="19"/>
      <c r="K116" s="19"/>
      <c r="L116" s="19"/>
      <c r="M116" s="19"/>
      <c r="N116" s="19"/>
      <c r="O116" s="19"/>
      <c r="P116" s="32"/>
      <c r="Q116" s="33"/>
      <c r="R116" s="28" t="b">
        <f t="shared" si="2"/>
        <v>0</v>
      </c>
      <c r="S116" s="28" t="b">
        <f t="shared" si="3"/>
        <v>0</v>
      </c>
    </row>
    <row r="117" spans="1:19" x14ac:dyDescent="0.2">
      <c r="F117" s="15"/>
      <c r="G117" s="15"/>
      <c r="H117" s="15"/>
      <c r="I117" s="19"/>
      <c r="J117" s="19"/>
      <c r="K117" s="19"/>
      <c r="L117" s="19"/>
      <c r="M117" s="19"/>
      <c r="N117" s="19"/>
      <c r="O117" s="19"/>
      <c r="P117" s="32"/>
      <c r="Q117" s="33"/>
      <c r="R117" s="28" t="b">
        <f t="shared" si="2"/>
        <v>0</v>
      </c>
      <c r="S117" s="28" t="b">
        <f t="shared" si="3"/>
        <v>0</v>
      </c>
    </row>
    <row r="118" spans="1:19" x14ac:dyDescent="0.2">
      <c r="F118" s="15"/>
      <c r="G118" s="15"/>
      <c r="H118" s="15"/>
      <c r="I118" s="19"/>
      <c r="J118" s="19"/>
      <c r="K118" s="19"/>
      <c r="L118" s="19"/>
      <c r="M118" s="19"/>
      <c r="N118" s="19"/>
      <c r="O118" s="19"/>
      <c r="P118" s="32"/>
      <c r="Q118" s="33"/>
      <c r="R118" s="28" t="b">
        <f t="shared" si="2"/>
        <v>0</v>
      </c>
      <c r="S118" s="28" t="b">
        <f t="shared" si="3"/>
        <v>0</v>
      </c>
    </row>
    <row r="119" spans="1:19" x14ac:dyDescent="0.2">
      <c r="F119" s="15"/>
      <c r="G119" s="15"/>
      <c r="H119" s="15"/>
      <c r="I119" s="19"/>
      <c r="J119" s="19"/>
      <c r="K119" s="19"/>
      <c r="L119" s="19"/>
      <c r="M119" s="19"/>
      <c r="N119" s="19"/>
      <c r="O119" s="19"/>
      <c r="P119" s="32"/>
      <c r="Q119" s="33"/>
      <c r="R119" s="28" t="b">
        <f t="shared" si="2"/>
        <v>0</v>
      </c>
      <c r="S119" s="28" t="b">
        <f t="shared" si="3"/>
        <v>0</v>
      </c>
    </row>
    <row r="120" spans="1:19" x14ac:dyDescent="0.2">
      <c r="F120" s="15"/>
      <c r="G120" s="15"/>
      <c r="H120" s="15"/>
      <c r="I120" s="19"/>
      <c r="J120" s="19"/>
      <c r="K120" s="19"/>
      <c r="L120" s="19"/>
      <c r="M120" s="19"/>
      <c r="N120" s="19"/>
      <c r="O120" s="19"/>
      <c r="P120" s="32"/>
      <c r="Q120" s="33"/>
      <c r="R120" s="28" t="b">
        <f t="shared" si="2"/>
        <v>0</v>
      </c>
      <c r="S120" s="28" t="b">
        <f t="shared" si="3"/>
        <v>0</v>
      </c>
    </row>
    <row r="121" spans="1:19" x14ac:dyDescent="0.2">
      <c r="I121" s="19"/>
      <c r="J121" s="19"/>
      <c r="K121" s="19"/>
      <c r="L121" s="19"/>
      <c r="M121" s="19"/>
      <c r="N121" s="19"/>
      <c r="O121" s="19"/>
      <c r="P121" s="32"/>
      <c r="Q121" s="33"/>
      <c r="R121" s="28" t="b">
        <f t="shared" si="2"/>
        <v>0</v>
      </c>
      <c r="S121" s="28" t="b">
        <f t="shared" si="3"/>
        <v>0</v>
      </c>
    </row>
    <row r="122" spans="1:19" x14ac:dyDescent="0.2">
      <c r="I122" s="19"/>
      <c r="J122" s="19"/>
      <c r="K122" s="19"/>
      <c r="L122" s="19"/>
      <c r="M122" s="19"/>
      <c r="N122" s="19"/>
      <c r="O122" s="19"/>
      <c r="P122" s="32"/>
      <c r="Q122" s="33"/>
      <c r="R122" s="28" t="b">
        <f t="shared" si="2"/>
        <v>0</v>
      </c>
      <c r="S122" s="28" t="b">
        <f t="shared" si="3"/>
        <v>0</v>
      </c>
    </row>
    <row r="123" spans="1:19" x14ac:dyDescent="0.2">
      <c r="I123" s="19"/>
      <c r="J123" s="19"/>
      <c r="K123" s="19"/>
      <c r="L123" s="19"/>
      <c r="M123" s="19"/>
      <c r="N123" s="19"/>
      <c r="O123" s="19"/>
      <c r="P123" s="32"/>
      <c r="Q123" s="33"/>
      <c r="R123" s="28" t="b">
        <f t="shared" si="2"/>
        <v>0</v>
      </c>
      <c r="S123" s="28" t="b">
        <f t="shared" si="3"/>
        <v>0</v>
      </c>
    </row>
    <row r="124" spans="1:19" x14ac:dyDescent="0.2">
      <c r="I124" s="19"/>
      <c r="J124" s="19"/>
      <c r="K124" s="19"/>
      <c r="L124" s="19"/>
      <c r="M124" s="19"/>
      <c r="N124" s="19"/>
      <c r="O124" s="19"/>
      <c r="P124" s="32"/>
      <c r="Q124" s="33"/>
      <c r="R124" s="28" t="b">
        <f t="shared" si="2"/>
        <v>0</v>
      </c>
      <c r="S124" s="28" t="b">
        <f t="shared" si="3"/>
        <v>0</v>
      </c>
    </row>
    <row r="125" spans="1:19" x14ac:dyDescent="0.2">
      <c r="I125" s="19"/>
      <c r="J125" s="19"/>
      <c r="K125" s="19"/>
      <c r="L125" s="19"/>
      <c r="M125" s="19"/>
      <c r="N125" s="19"/>
      <c r="O125" s="19"/>
      <c r="P125" s="32"/>
      <c r="Q125" s="33"/>
      <c r="R125" s="28" t="b">
        <f t="shared" si="2"/>
        <v>0</v>
      </c>
      <c r="S125" s="28" t="b">
        <f t="shared" si="3"/>
        <v>0</v>
      </c>
    </row>
    <row r="126" spans="1:19" x14ac:dyDescent="0.2">
      <c r="I126" s="19"/>
      <c r="J126" s="19"/>
      <c r="K126" s="19"/>
      <c r="L126" s="19"/>
      <c r="M126" s="19"/>
      <c r="N126" s="19"/>
      <c r="O126" s="19"/>
      <c r="P126" s="32"/>
      <c r="Q126" s="33"/>
      <c r="R126" s="28" t="b">
        <f t="shared" si="2"/>
        <v>0</v>
      </c>
      <c r="S126" s="28" t="b">
        <f t="shared" si="3"/>
        <v>0</v>
      </c>
    </row>
    <row r="127" spans="1:19" x14ac:dyDescent="0.2">
      <c r="I127" s="19"/>
      <c r="J127" s="19"/>
      <c r="K127" s="19"/>
      <c r="L127" s="19"/>
      <c r="M127" s="19"/>
      <c r="N127" s="19"/>
      <c r="O127" s="19"/>
      <c r="P127" s="32"/>
      <c r="Q127" s="33"/>
      <c r="R127" s="28" t="b">
        <f t="shared" si="2"/>
        <v>0</v>
      </c>
      <c r="S127" s="28" t="b">
        <f t="shared" si="3"/>
        <v>0</v>
      </c>
    </row>
    <row r="128" spans="1:19" x14ac:dyDescent="0.2">
      <c r="I128" s="19"/>
      <c r="J128" s="19"/>
      <c r="K128" s="19"/>
      <c r="L128" s="19"/>
      <c r="M128" s="19"/>
      <c r="N128" s="19"/>
      <c r="O128" s="19"/>
      <c r="P128" s="32"/>
      <c r="Q128" s="33"/>
      <c r="R128" s="28" t="b">
        <f t="shared" si="2"/>
        <v>0</v>
      </c>
      <c r="S128" s="28" t="b">
        <f t="shared" si="3"/>
        <v>0</v>
      </c>
    </row>
    <row r="129" spans="9:19" x14ac:dyDescent="0.2">
      <c r="I129" s="19"/>
      <c r="J129" s="19"/>
      <c r="K129" s="19"/>
      <c r="L129" s="19"/>
      <c r="M129" s="19"/>
      <c r="N129" s="19"/>
      <c r="O129" s="19"/>
      <c r="P129" s="32"/>
      <c r="Q129" s="33"/>
      <c r="R129" s="28" t="b">
        <f t="shared" si="2"/>
        <v>0</v>
      </c>
      <c r="S129" s="28" t="b">
        <f t="shared" si="3"/>
        <v>0</v>
      </c>
    </row>
    <row r="130" spans="9:19" x14ac:dyDescent="0.2">
      <c r="I130" s="19"/>
      <c r="J130" s="19"/>
      <c r="K130" s="19"/>
      <c r="L130" s="19"/>
      <c r="M130" s="19"/>
      <c r="N130" s="19"/>
      <c r="O130" s="19"/>
      <c r="P130" s="32"/>
      <c r="Q130" s="33"/>
      <c r="R130" s="28" t="b">
        <f t="shared" si="2"/>
        <v>0</v>
      </c>
      <c r="S130" s="28" t="b">
        <f t="shared" si="3"/>
        <v>0</v>
      </c>
    </row>
    <row r="131" spans="9:19" x14ac:dyDescent="0.2">
      <c r="I131" s="19"/>
      <c r="J131" s="19"/>
      <c r="K131" s="19"/>
      <c r="L131" s="19"/>
      <c r="M131" s="19"/>
      <c r="N131" s="19"/>
      <c r="O131" s="19"/>
      <c r="P131" s="32"/>
      <c r="Q131" s="33"/>
      <c r="R131" s="28" t="b">
        <f t="shared" si="2"/>
        <v>0</v>
      </c>
      <c r="S131" s="28" t="b">
        <f t="shared" si="3"/>
        <v>0</v>
      </c>
    </row>
    <row r="132" spans="9:19" x14ac:dyDescent="0.2">
      <c r="I132" s="19"/>
      <c r="J132" s="19"/>
      <c r="K132" s="19"/>
      <c r="L132" s="19"/>
      <c r="M132" s="19"/>
      <c r="N132" s="19"/>
      <c r="O132" s="19"/>
      <c r="P132" s="32"/>
      <c r="Q132" s="33"/>
      <c r="R132" s="28" t="b">
        <f t="shared" ref="R132:R195" si="4">IF($P132&gt;0,$B$17+$B$18*$P132)</f>
        <v>0</v>
      </c>
      <c r="S132" s="28" t="b">
        <f t="shared" ref="S132:S195" si="5">IF($P132&gt;0,$Q132-$R132)</f>
        <v>0</v>
      </c>
    </row>
    <row r="133" spans="9:19" x14ac:dyDescent="0.2">
      <c r="I133" s="19"/>
      <c r="J133" s="19"/>
      <c r="K133" s="19"/>
      <c r="L133" s="19"/>
      <c r="M133" s="19"/>
      <c r="N133" s="19"/>
      <c r="O133" s="19"/>
      <c r="P133" s="32"/>
      <c r="Q133" s="33"/>
      <c r="R133" s="28" t="b">
        <f t="shared" si="4"/>
        <v>0</v>
      </c>
      <c r="S133" s="28" t="b">
        <f t="shared" si="5"/>
        <v>0</v>
      </c>
    </row>
    <row r="134" spans="9:19" x14ac:dyDescent="0.2">
      <c r="I134" s="19"/>
      <c r="J134" s="19"/>
      <c r="K134" s="19"/>
      <c r="L134" s="19"/>
      <c r="M134" s="19"/>
      <c r="N134" s="19"/>
      <c r="O134" s="19"/>
      <c r="P134" s="32"/>
      <c r="Q134" s="33"/>
      <c r="R134" s="28" t="b">
        <f t="shared" si="4"/>
        <v>0</v>
      </c>
      <c r="S134" s="28" t="b">
        <f t="shared" si="5"/>
        <v>0</v>
      </c>
    </row>
    <row r="135" spans="9:19" x14ac:dyDescent="0.2">
      <c r="I135" s="19"/>
      <c r="J135" s="19"/>
      <c r="K135" s="19"/>
      <c r="L135" s="19"/>
      <c r="M135" s="19"/>
      <c r="N135" s="19"/>
      <c r="O135" s="19"/>
      <c r="P135" s="32"/>
      <c r="Q135" s="33"/>
      <c r="R135" s="28" t="b">
        <f t="shared" si="4"/>
        <v>0</v>
      </c>
      <c r="S135" s="28" t="b">
        <f t="shared" si="5"/>
        <v>0</v>
      </c>
    </row>
    <row r="136" spans="9:19" x14ac:dyDescent="0.2">
      <c r="I136" s="19"/>
      <c r="J136" s="19"/>
      <c r="K136" s="19"/>
      <c r="L136" s="19"/>
      <c r="M136" s="19"/>
      <c r="N136" s="19"/>
      <c r="O136" s="19"/>
      <c r="P136" s="32"/>
      <c r="Q136" s="33"/>
      <c r="R136" s="28" t="b">
        <f t="shared" si="4"/>
        <v>0</v>
      </c>
      <c r="S136" s="28" t="b">
        <f t="shared" si="5"/>
        <v>0</v>
      </c>
    </row>
    <row r="137" spans="9:19" x14ac:dyDescent="0.2">
      <c r="I137" s="19"/>
      <c r="J137" s="19"/>
      <c r="K137" s="19"/>
      <c r="L137" s="19"/>
      <c r="M137" s="19"/>
      <c r="N137" s="19"/>
      <c r="O137" s="19"/>
      <c r="P137" s="32"/>
      <c r="Q137" s="33"/>
      <c r="R137" s="28" t="b">
        <f t="shared" si="4"/>
        <v>0</v>
      </c>
      <c r="S137" s="28" t="b">
        <f t="shared" si="5"/>
        <v>0</v>
      </c>
    </row>
    <row r="138" spans="9:19" x14ac:dyDescent="0.2">
      <c r="I138" s="19"/>
      <c r="J138" s="19"/>
      <c r="K138" s="19"/>
      <c r="L138" s="19"/>
      <c r="M138" s="19"/>
      <c r="N138" s="19"/>
      <c r="O138" s="19"/>
      <c r="P138" s="32"/>
      <c r="Q138" s="33"/>
      <c r="R138" s="28" t="b">
        <f t="shared" si="4"/>
        <v>0</v>
      </c>
      <c r="S138" s="28" t="b">
        <f t="shared" si="5"/>
        <v>0</v>
      </c>
    </row>
    <row r="139" spans="9:19" x14ac:dyDescent="0.2">
      <c r="I139" s="19"/>
      <c r="J139" s="19"/>
      <c r="K139" s="19"/>
      <c r="L139" s="19"/>
      <c r="M139" s="19"/>
      <c r="N139" s="19"/>
      <c r="O139" s="19"/>
      <c r="P139" s="32"/>
      <c r="Q139" s="33"/>
      <c r="R139" s="28" t="b">
        <f t="shared" si="4"/>
        <v>0</v>
      </c>
      <c r="S139" s="28" t="b">
        <f t="shared" si="5"/>
        <v>0</v>
      </c>
    </row>
    <row r="140" spans="9:19" x14ac:dyDescent="0.2">
      <c r="I140" s="19"/>
      <c r="J140" s="19"/>
      <c r="K140" s="19"/>
      <c r="L140" s="19"/>
      <c r="M140" s="19"/>
      <c r="N140" s="19"/>
      <c r="O140" s="19"/>
      <c r="P140" s="32"/>
      <c r="Q140" s="33"/>
      <c r="R140" s="28" t="b">
        <f t="shared" si="4"/>
        <v>0</v>
      </c>
      <c r="S140" s="28" t="b">
        <f t="shared" si="5"/>
        <v>0</v>
      </c>
    </row>
    <row r="141" spans="9:19" x14ac:dyDescent="0.2">
      <c r="I141" s="19"/>
      <c r="J141" s="19"/>
      <c r="K141" s="19"/>
      <c r="L141" s="19"/>
      <c r="M141" s="19"/>
      <c r="N141" s="19"/>
      <c r="O141" s="19"/>
      <c r="P141" s="32"/>
      <c r="Q141" s="33"/>
      <c r="R141" s="28" t="b">
        <f t="shared" si="4"/>
        <v>0</v>
      </c>
      <c r="S141" s="28" t="b">
        <f t="shared" si="5"/>
        <v>0</v>
      </c>
    </row>
    <row r="142" spans="9:19" x14ac:dyDescent="0.2">
      <c r="I142" s="19"/>
      <c r="J142" s="19"/>
      <c r="K142" s="19"/>
      <c r="L142" s="19"/>
      <c r="M142" s="19"/>
      <c r="N142" s="19"/>
      <c r="O142" s="19"/>
      <c r="P142" s="32"/>
      <c r="Q142" s="33"/>
      <c r="R142" s="28" t="b">
        <f t="shared" si="4"/>
        <v>0</v>
      </c>
      <c r="S142" s="28" t="b">
        <f t="shared" si="5"/>
        <v>0</v>
      </c>
    </row>
    <row r="143" spans="9:19" x14ac:dyDescent="0.2">
      <c r="I143" s="19"/>
      <c r="J143" s="19"/>
      <c r="K143" s="19"/>
      <c r="L143" s="19"/>
      <c r="M143" s="19"/>
      <c r="N143" s="19"/>
      <c r="O143" s="19"/>
      <c r="P143" s="32"/>
      <c r="Q143" s="33"/>
      <c r="R143" s="28" t="b">
        <f t="shared" si="4"/>
        <v>0</v>
      </c>
      <c r="S143" s="28" t="b">
        <f t="shared" si="5"/>
        <v>0</v>
      </c>
    </row>
    <row r="144" spans="9:19" x14ac:dyDescent="0.2">
      <c r="I144" s="19"/>
      <c r="J144" s="19"/>
      <c r="K144" s="19"/>
      <c r="L144" s="19"/>
      <c r="M144" s="19"/>
      <c r="N144" s="19"/>
      <c r="O144" s="19"/>
      <c r="P144" s="32"/>
      <c r="Q144" s="33"/>
      <c r="R144" s="28" t="b">
        <f t="shared" si="4"/>
        <v>0</v>
      </c>
      <c r="S144" s="28" t="b">
        <f t="shared" si="5"/>
        <v>0</v>
      </c>
    </row>
    <row r="145" spans="9:19" x14ac:dyDescent="0.2">
      <c r="I145" s="19"/>
      <c r="J145" s="19"/>
      <c r="K145" s="19"/>
      <c r="L145" s="19"/>
      <c r="M145" s="19"/>
      <c r="N145" s="19"/>
      <c r="O145" s="19"/>
      <c r="P145" s="32"/>
      <c r="Q145" s="33"/>
      <c r="R145" s="28" t="b">
        <f t="shared" si="4"/>
        <v>0</v>
      </c>
      <c r="S145" s="28" t="b">
        <f t="shared" si="5"/>
        <v>0</v>
      </c>
    </row>
    <row r="146" spans="9:19" x14ac:dyDescent="0.2">
      <c r="I146" s="19"/>
      <c r="J146" s="19"/>
      <c r="K146" s="19"/>
      <c r="L146" s="19"/>
      <c r="M146" s="19"/>
      <c r="N146" s="19"/>
      <c r="O146" s="19"/>
      <c r="P146" s="32"/>
      <c r="Q146" s="33"/>
      <c r="R146" s="28" t="b">
        <f t="shared" si="4"/>
        <v>0</v>
      </c>
      <c r="S146" s="28" t="b">
        <f t="shared" si="5"/>
        <v>0</v>
      </c>
    </row>
    <row r="147" spans="9:19" x14ac:dyDescent="0.2">
      <c r="I147" s="19"/>
      <c r="J147" s="19"/>
      <c r="K147" s="19"/>
      <c r="L147" s="19"/>
      <c r="M147" s="19"/>
      <c r="N147" s="19"/>
      <c r="O147" s="19"/>
      <c r="P147" s="32"/>
      <c r="Q147" s="33"/>
      <c r="R147" s="28" t="b">
        <f t="shared" si="4"/>
        <v>0</v>
      </c>
      <c r="S147" s="28" t="b">
        <f t="shared" si="5"/>
        <v>0</v>
      </c>
    </row>
    <row r="148" spans="9:19" x14ac:dyDescent="0.2">
      <c r="I148" s="19"/>
      <c r="J148" s="19"/>
      <c r="K148" s="19"/>
      <c r="L148" s="19"/>
      <c r="M148" s="19"/>
      <c r="N148" s="19"/>
      <c r="O148" s="19"/>
      <c r="P148" s="32"/>
      <c r="Q148" s="33"/>
      <c r="R148" s="28" t="b">
        <f t="shared" si="4"/>
        <v>0</v>
      </c>
      <c r="S148" s="28" t="b">
        <f t="shared" si="5"/>
        <v>0</v>
      </c>
    </row>
    <row r="149" spans="9:19" x14ac:dyDescent="0.2">
      <c r="I149" s="19"/>
      <c r="J149" s="19"/>
      <c r="K149" s="19"/>
      <c r="L149" s="19"/>
      <c r="M149" s="19"/>
      <c r="N149" s="19"/>
      <c r="O149" s="19"/>
      <c r="P149" s="32"/>
      <c r="Q149" s="33"/>
      <c r="R149" s="28" t="b">
        <f t="shared" si="4"/>
        <v>0</v>
      </c>
      <c r="S149" s="28" t="b">
        <f t="shared" si="5"/>
        <v>0</v>
      </c>
    </row>
    <row r="150" spans="9:19" x14ac:dyDescent="0.2">
      <c r="I150" s="19"/>
      <c r="J150" s="19"/>
      <c r="K150" s="19"/>
      <c r="L150" s="19"/>
      <c r="M150" s="19"/>
      <c r="N150" s="19"/>
      <c r="O150" s="19"/>
      <c r="P150" s="32"/>
      <c r="Q150" s="33"/>
      <c r="R150" s="28" t="b">
        <f t="shared" si="4"/>
        <v>0</v>
      </c>
      <c r="S150" s="28" t="b">
        <f t="shared" si="5"/>
        <v>0</v>
      </c>
    </row>
    <row r="151" spans="9:19" x14ac:dyDescent="0.2">
      <c r="I151" s="19"/>
      <c r="J151" s="19"/>
      <c r="K151" s="19"/>
      <c r="L151" s="19"/>
      <c r="M151" s="19"/>
      <c r="N151" s="19"/>
      <c r="O151" s="19"/>
      <c r="P151" s="32"/>
      <c r="Q151" s="33"/>
      <c r="R151" s="28" t="b">
        <f t="shared" si="4"/>
        <v>0</v>
      </c>
      <c r="S151" s="28" t="b">
        <f t="shared" si="5"/>
        <v>0</v>
      </c>
    </row>
    <row r="152" spans="9:19" x14ac:dyDescent="0.2">
      <c r="I152" s="19"/>
      <c r="J152" s="19"/>
      <c r="K152" s="19"/>
      <c r="L152" s="19"/>
      <c r="M152" s="19"/>
      <c r="N152" s="19"/>
      <c r="O152" s="19"/>
      <c r="P152" s="32"/>
      <c r="Q152" s="33"/>
      <c r="R152" s="28" t="b">
        <f t="shared" si="4"/>
        <v>0</v>
      </c>
      <c r="S152" s="28" t="b">
        <f t="shared" si="5"/>
        <v>0</v>
      </c>
    </row>
    <row r="153" spans="9:19" x14ac:dyDescent="0.2">
      <c r="I153" s="19"/>
      <c r="J153" s="19"/>
      <c r="K153" s="19"/>
      <c r="L153" s="19"/>
      <c r="M153" s="19"/>
      <c r="N153" s="19"/>
      <c r="O153" s="19"/>
      <c r="P153" s="32"/>
      <c r="Q153" s="33"/>
      <c r="R153" s="28" t="b">
        <f t="shared" si="4"/>
        <v>0</v>
      </c>
      <c r="S153" s="28" t="b">
        <f t="shared" si="5"/>
        <v>0</v>
      </c>
    </row>
    <row r="154" spans="9:19" x14ac:dyDescent="0.2">
      <c r="I154" s="19"/>
      <c r="J154" s="19"/>
      <c r="K154" s="19"/>
      <c r="L154" s="19"/>
      <c r="M154" s="19"/>
      <c r="N154" s="19"/>
      <c r="O154" s="19"/>
      <c r="P154" s="32"/>
      <c r="Q154" s="33"/>
      <c r="R154" s="28" t="b">
        <f t="shared" si="4"/>
        <v>0</v>
      </c>
      <c r="S154" s="28" t="b">
        <f t="shared" si="5"/>
        <v>0</v>
      </c>
    </row>
    <row r="155" spans="9:19" x14ac:dyDescent="0.2">
      <c r="P155" s="32"/>
      <c r="Q155" s="33"/>
      <c r="R155" s="28" t="b">
        <f t="shared" si="4"/>
        <v>0</v>
      </c>
      <c r="S155" s="28" t="b">
        <f t="shared" si="5"/>
        <v>0</v>
      </c>
    </row>
    <row r="156" spans="9:19" x14ac:dyDescent="0.2">
      <c r="P156" s="32"/>
      <c r="Q156" s="33"/>
      <c r="R156" s="28" t="b">
        <f t="shared" si="4"/>
        <v>0</v>
      </c>
      <c r="S156" s="28" t="b">
        <f t="shared" si="5"/>
        <v>0</v>
      </c>
    </row>
    <row r="157" spans="9:19" x14ac:dyDescent="0.2">
      <c r="P157" s="32"/>
      <c r="Q157" s="33"/>
      <c r="R157" s="28" t="b">
        <f t="shared" si="4"/>
        <v>0</v>
      </c>
      <c r="S157" s="28" t="b">
        <f t="shared" si="5"/>
        <v>0</v>
      </c>
    </row>
    <row r="158" spans="9:19" x14ac:dyDescent="0.2">
      <c r="P158" s="32"/>
      <c r="Q158" s="33"/>
      <c r="R158" s="28" t="b">
        <f t="shared" si="4"/>
        <v>0</v>
      </c>
      <c r="S158" s="28" t="b">
        <f t="shared" si="5"/>
        <v>0</v>
      </c>
    </row>
    <row r="159" spans="9:19" x14ac:dyDescent="0.2">
      <c r="P159" s="32"/>
      <c r="Q159" s="33"/>
      <c r="R159" s="28" t="b">
        <f t="shared" si="4"/>
        <v>0</v>
      </c>
      <c r="S159" s="28" t="b">
        <f t="shared" si="5"/>
        <v>0</v>
      </c>
    </row>
    <row r="160" spans="9:19" x14ac:dyDescent="0.2">
      <c r="P160" s="32"/>
      <c r="Q160" s="33"/>
      <c r="R160" s="28" t="b">
        <f t="shared" si="4"/>
        <v>0</v>
      </c>
      <c r="S160" s="28" t="b">
        <f t="shared" si="5"/>
        <v>0</v>
      </c>
    </row>
    <row r="161" spans="16:19" x14ac:dyDescent="0.2">
      <c r="P161" s="32"/>
      <c r="Q161" s="33"/>
      <c r="R161" s="28" t="b">
        <f t="shared" si="4"/>
        <v>0</v>
      </c>
      <c r="S161" s="28" t="b">
        <f t="shared" si="5"/>
        <v>0</v>
      </c>
    </row>
    <row r="162" spans="16:19" x14ac:dyDescent="0.2">
      <c r="P162" s="32"/>
      <c r="Q162" s="33"/>
      <c r="R162" s="28" t="b">
        <f t="shared" si="4"/>
        <v>0</v>
      </c>
      <c r="S162" s="28" t="b">
        <f t="shared" si="5"/>
        <v>0</v>
      </c>
    </row>
    <row r="163" spans="16:19" x14ac:dyDescent="0.2">
      <c r="P163" s="32"/>
      <c r="Q163" s="33"/>
      <c r="R163" s="28" t="b">
        <f t="shared" si="4"/>
        <v>0</v>
      </c>
      <c r="S163" s="28" t="b">
        <f t="shared" si="5"/>
        <v>0</v>
      </c>
    </row>
    <row r="164" spans="16:19" x14ac:dyDescent="0.2">
      <c r="P164" s="32"/>
      <c r="Q164" s="33"/>
      <c r="R164" s="28" t="b">
        <f t="shared" si="4"/>
        <v>0</v>
      </c>
      <c r="S164" s="28" t="b">
        <f t="shared" si="5"/>
        <v>0</v>
      </c>
    </row>
    <row r="165" spans="16:19" x14ac:dyDescent="0.2">
      <c r="P165" s="32"/>
      <c r="Q165" s="33"/>
      <c r="R165" s="28" t="b">
        <f t="shared" si="4"/>
        <v>0</v>
      </c>
      <c r="S165" s="28" t="b">
        <f t="shared" si="5"/>
        <v>0</v>
      </c>
    </row>
    <row r="166" spans="16:19" x14ac:dyDescent="0.2">
      <c r="P166" s="32"/>
      <c r="Q166" s="33"/>
      <c r="R166" s="28" t="b">
        <f t="shared" si="4"/>
        <v>0</v>
      </c>
      <c r="S166" s="28" t="b">
        <f t="shared" si="5"/>
        <v>0</v>
      </c>
    </row>
    <row r="167" spans="16:19" x14ac:dyDescent="0.2">
      <c r="P167" s="32"/>
      <c r="Q167" s="33"/>
      <c r="R167" s="28" t="b">
        <f t="shared" si="4"/>
        <v>0</v>
      </c>
      <c r="S167" s="28" t="b">
        <f t="shared" si="5"/>
        <v>0</v>
      </c>
    </row>
    <row r="168" spans="16:19" x14ac:dyDescent="0.2">
      <c r="P168" s="32"/>
      <c r="Q168" s="33"/>
      <c r="R168" s="28" t="b">
        <f t="shared" si="4"/>
        <v>0</v>
      </c>
      <c r="S168" s="28" t="b">
        <f t="shared" si="5"/>
        <v>0</v>
      </c>
    </row>
    <row r="169" spans="16:19" x14ac:dyDescent="0.2">
      <c r="P169" s="32"/>
      <c r="Q169" s="33"/>
      <c r="R169" s="28" t="b">
        <f t="shared" si="4"/>
        <v>0</v>
      </c>
      <c r="S169" s="28" t="b">
        <f t="shared" si="5"/>
        <v>0</v>
      </c>
    </row>
    <row r="170" spans="16:19" x14ac:dyDescent="0.2">
      <c r="P170" s="32"/>
      <c r="Q170" s="33"/>
      <c r="R170" s="28" t="b">
        <f t="shared" si="4"/>
        <v>0</v>
      </c>
      <c r="S170" s="28" t="b">
        <f t="shared" si="5"/>
        <v>0</v>
      </c>
    </row>
    <row r="171" spans="16:19" x14ac:dyDescent="0.2">
      <c r="P171" s="32"/>
      <c r="Q171" s="33"/>
      <c r="R171" s="28" t="b">
        <f t="shared" si="4"/>
        <v>0</v>
      </c>
      <c r="S171" s="28" t="b">
        <f t="shared" si="5"/>
        <v>0</v>
      </c>
    </row>
    <row r="172" spans="16:19" x14ac:dyDescent="0.2">
      <c r="P172" s="32"/>
      <c r="Q172" s="33"/>
      <c r="R172" s="28" t="b">
        <f t="shared" si="4"/>
        <v>0</v>
      </c>
      <c r="S172" s="28" t="b">
        <f t="shared" si="5"/>
        <v>0</v>
      </c>
    </row>
    <row r="173" spans="16:19" x14ac:dyDescent="0.2">
      <c r="P173" s="32"/>
      <c r="Q173" s="33"/>
      <c r="R173" s="28" t="b">
        <f t="shared" si="4"/>
        <v>0</v>
      </c>
      <c r="S173" s="28" t="b">
        <f t="shared" si="5"/>
        <v>0</v>
      </c>
    </row>
    <row r="174" spans="16:19" x14ac:dyDescent="0.2">
      <c r="P174" s="32"/>
      <c r="Q174" s="33"/>
      <c r="R174" s="28" t="b">
        <f t="shared" si="4"/>
        <v>0</v>
      </c>
      <c r="S174" s="28" t="b">
        <f t="shared" si="5"/>
        <v>0</v>
      </c>
    </row>
    <row r="175" spans="16:19" x14ac:dyDescent="0.2">
      <c r="P175" s="32"/>
      <c r="Q175" s="33"/>
      <c r="R175" s="28" t="b">
        <f t="shared" si="4"/>
        <v>0</v>
      </c>
      <c r="S175" s="28" t="b">
        <f t="shared" si="5"/>
        <v>0</v>
      </c>
    </row>
    <row r="176" spans="16:19" x14ac:dyDescent="0.2">
      <c r="P176" s="32"/>
      <c r="Q176" s="33"/>
      <c r="R176" s="28" t="b">
        <f t="shared" si="4"/>
        <v>0</v>
      </c>
      <c r="S176" s="28" t="b">
        <f t="shared" si="5"/>
        <v>0</v>
      </c>
    </row>
    <row r="177" spans="16:19" x14ac:dyDescent="0.2">
      <c r="P177" s="32"/>
      <c r="Q177" s="33"/>
      <c r="R177" s="28" t="b">
        <f t="shared" si="4"/>
        <v>0</v>
      </c>
      <c r="S177" s="28" t="b">
        <f t="shared" si="5"/>
        <v>0</v>
      </c>
    </row>
    <row r="178" spans="16:19" x14ac:dyDescent="0.2">
      <c r="P178" s="32"/>
      <c r="Q178" s="33"/>
      <c r="R178" s="28" t="b">
        <f t="shared" si="4"/>
        <v>0</v>
      </c>
      <c r="S178" s="28" t="b">
        <f t="shared" si="5"/>
        <v>0</v>
      </c>
    </row>
    <row r="179" spans="16:19" x14ac:dyDescent="0.2">
      <c r="P179" s="32"/>
      <c r="Q179" s="33"/>
      <c r="R179" s="28" t="b">
        <f t="shared" si="4"/>
        <v>0</v>
      </c>
      <c r="S179" s="28" t="b">
        <f t="shared" si="5"/>
        <v>0</v>
      </c>
    </row>
    <row r="180" spans="16:19" x14ac:dyDescent="0.2">
      <c r="P180" s="32"/>
      <c r="Q180" s="33"/>
      <c r="R180" s="28" t="b">
        <f t="shared" si="4"/>
        <v>0</v>
      </c>
      <c r="S180" s="28" t="b">
        <f t="shared" si="5"/>
        <v>0</v>
      </c>
    </row>
    <row r="181" spans="16:19" x14ac:dyDescent="0.2">
      <c r="P181" s="32"/>
      <c r="Q181" s="33"/>
      <c r="R181" s="28" t="b">
        <f t="shared" si="4"/>
        <v>0</v>
      </c>
      <c r="S181" s="28" t="b">
        <f t="shared" si="5"/>
        <v>0</v>
      </c>
    </row>
    <row r="182" spans="16:19" x14ac:dyDescent="0.2">
      <c r="P182" s="32"/>
      <c r="Q182" s="33"/>
      <c r="R182" s="28" t="b">
        <f t="shared" si="4"/>
        <v>0</v>
      </c>
      <c r="S182" s="28" t="b">
        <f t="shared" si="5"/>
        <v>0</v>
      </c>
    </row>
    <row r="183" spans="16:19" x14ac:dyDescent="0.2">
      <c r="P183" s="32"/>
      <c r="Q183" s="33"/>
      <c r="R183" s="28" t="b">
        <f t="shared" si="4"/>
        <v>0</v>
      </c>
      <c r="S183" s="28" t="b">
        <f t="shared" si="5"/>
        <v>0</v>
      </c>
    </row>
    <row r="184" spans="16:19" x14ac:dyDescent="0.2">
      <c r="P184" s="32"/>
      <c r="Q184" s="33"/>
      <c r="R184" s="28" t="b">
        <f t="shared" si="4"/>
        <v>0</v>
      </c>
      <c r="S184" s="28" t="b">
        <f t="shared" si="5"/>
        <v>0</v>
      </c>
    </row>
    <row r="185" spans="16:19" x14ac:dyDescent="0.2">
      <c r="P185" s="32"/>
      <c r="Q185" s="33"/>
      <c r="R185" s="28" t="b">
        <f t="shared" si="4"/>
        <v>0</v>
      </c>
      <c r="S185" s="28" t="b">
        <f t="shared" si="5"/>
        <v>0</v>
      </c>
    </row>
    <row r="186" spans="16:19" x14ac:dyDescent="0.2">
      <c r="P186" s="32"/>
      <c r="Q186" s="33"/>
      <c r="R186" s="28" t="b">
        <f t="shared" si="4"/>
        <v>0</v>
      </c>
      <c r="S186" s="28" t="b">
        <f t="shared" si="5"/>
        <v>0</v>
      </c>
    </row>
    <row r="187" spans="16:19" x14ac:dyDescent="0.2">
      <c r="P187" s="32"/>
      <c r="Q187" s="33"/>
      <c r="R187" s="28" t="b">
        <f t="shared" si="4"/>
        <v>0</v>
      </c>
      <c r="S187" s="28" t="b">
        <f t="shared" si="5"/>
        <v>0</v>
      </c>
    </row>
    <row r="188" spans="16:19" x14ac:dyDescent="0.2">
      <c r="P188" s="32"/>
      <c r="Q188" s="33"/>
      <c r="R188" s="28" t="b">
        <f t="shared" si="4"/>
        <v>0</v>
      </c>
      <c r="S188" s="28" t="b">
        <f t="shared" si="5"/>
        <v>0</v>
      </c>
    </row>
    <row r="189" spans="16:19" x14ac:dyDescent="0.2">
      <c r="P189" s="32"/>
      <c r="Q189" s="33"/>
      <c r="R189" s="28" t="b">
        <f t="shared" si="4"/>
        <v>0</v>
      </c>
      <c r="S189" s="28" t="b">
        <f t="shared" si="5"/>
        <v>0</v>
      </c>
    </row>
    <row r="190" spans="16:19" x14ac:dyDescent="0.2">
      <c r="P190" s="32"/>
      <c r="Q190" s="33"/>
      <c r="R190" s="28" t="b">
        <f t="shared" si="4"/>
        <v>0</v>
      </c>
      <c r="S190" s="28" t="b">
        <f t="shared" si="5"/>
        <v>0</v>
      </c>
    </row>
    <row r="191" spans="16:19" x14ac:dyDescent="0.2">
      <c r="P191" s="32"/>
      <c r="Q191" s="33"/>
      <c r="R191" s="28" t="b">
        <f t="shared" si="4"/>
        <v>0</v>
      </c>
      <c r="S191" s="28" t="b">
        <f t="shared" si="5"/>
        <v>0</v>
      </c>
    </row>
    <row r="192" spans="16:19" x14ac:dyDescent="0.2">
      <c r="P192" s="32"/>
      <c r="Q192" s="33"/>
      <c r="R192" s="28" t="b">
        <f t="shared" si="4"/>
        <v>0</v>
      </c>
      <c r="S192" s="28" t="b">
        <f t="shared" si="5"/>
        <v>0</v>
      </c>
    </row>
    <row r="193" spans="16:19" x14ac:dyDescent="0.2">
      <c r="P193" s="32"/>
      <c r="Q193" s="33"/>
      <c r="R193" s="28" t="b">
        <f t="shared" si="4"/>
        <v>0</v>
      </c>
      <c r="S193" s="28" t="b">
        <f t="shared" si="5"/>
        <v>0</v>
      </c>
    </row>
    <row r="194" spans="16:19" x14ac:dyDescent="0.2">
      <c r="P194" s="32"/>
      <c r="Q194" s="33"/>
      <c r="R194" s="28" t="b">
        <f t="shared" si="4"/>
        <v>0</v>
      </c>
      <c r="S194" s="28" t="b">
        <f t="shared" si="5"/>
        <v>0</v>
      </c>
    </row>
    <row r="195" spans="16:19" x14ac:dyDescent="0.2">
      <c r="P195" s="32"/>
      <c r="Q195" s="33"/>
      <c r="R195" s="28" t="b">
        <f t="shared" si="4"/>
        <v>0</v>
      </c>
      <c r="S195" s="28" t="b">
        <f t="shared" si="5"/>
        <v>0</v>
      </c>
    </row>
    <row r="196" spans="16:19" x14ac:dyDescent="0.2">
      <c r="P196" s="32"/>
      <c r="Q196" s="33"/>
      <c r="R196" s="28" t="b">
        <f t="shared" ref="R196:R252" si="6">IF($P196&gt;0,$B$17+$B$18*$P196)</f>
        <v>0</v>
      </c>
      <c r="S196" s="28" t="b">
        <f t="shared" ref="S196:S252" si="7">IF($P196&gt;0,$Q196-$R196)</f>
        <v>0</v>
      </c>
    </row>
    <row r="197" spans="16:19" x14ac:dyDescent="0.2">
      <c r="P197" s="32"/>
      <c r="Q197" s="33"/>
      <c r="R197" s="28" t="b">
        <f t="shared" si="6"/>
        <v>0</v>
      </c>
      <c r="S197" s="28" t="b">
        <f t="shared" si="7"/>
        <v>0</v>
      </c>
    </row>
    <row r="198" spans="16:19" x14ac:dyDescent="0.2">
      <c r="P198" s="32"/>
      <c r="Q198" s="33"/>
      <c r="R198" s="28" t="b">
        <f t="shared" si="6"/>
        <v>0</v>
      </c>
      <c r="S198" s="28" t="b">
        <f t="shared" si="7"/>
        <v>0</v>
      </c>
    </row>
    <row r="199" spans="16:19" x14ac:dyDescent="0.2">
      <c r="P199" s="32"/>
      <c r="Q199" s="33"/>
      <c r="R199" s="28" t="b">
        <f t="shared" si="6"/>
        <v>0</v>
      </c>
      <c r="S199" s="28" t="b">
        <f t="shared" si="7"/>
        <v>0</v>
      </c>
    </row>
    <row r="200" spans="16:19" x14ac:dyDescent="0.2">
      <c r="P200" s="32"/>
      <c r="Q200" s="33"/>
      <c r="R200" s="28" t="b">
        <f t="shared" si="6"/>
        <v>0</v>
      </c>
      <c r="S200" s="28" t="b">
        <f t="shared" si="7"/>
        <v>0</v>
      </c>
    </row>
    <row r="201" spans="16:19" x14ac:dyDescent="0.2">
      <c r="P201" s="32"/>
      <c r="Q201" s="33"/>
      <c r="R201" s="28" t="b">
        <f t="shared" si="6"/>
        <v>0</v>
      </c>
      <c r="S201" s="28" t="b">
        <f t="shared" si="7"/>
        <v>0</v>
      </c>
    </row>
    <row r="202" spans="16:19" x14ac:dyDescent="0.2">
      <c r="P202" s="32"/>
      <c r="Q202" s="33"/>
      <c r="R202" s="28" t="b">
        <f t="shared" si="6"/>
        <v>0</v>
      </c>
      <c r="S202" s="28" t="b">
        <f t="shared" si="7"/>
        <v>0</v>
      </c>
    </row>
    <row r="203" spans="16:19" x14ac:dyDescent="0.2">
      <c r="P203" s="32"/>
      <c r="Q203" s="33"/>
      <c r="R203" s="28" t="b">
        <f t="shared" si="6"/>
        <v>0</v>
      </c>
      <c r="S203" s="28" t="b">
        <f t="shared" si="7"/>
        <v>0</v>
      </c>
    </row>
    <row r="204" spans="16:19" x14ac:dyDescent="0.2">
      <c r="P204" s="32"/>
      <c r="Q204" s="33"/>
      <c r="R204" s="28" t="b">
        <f t="shared" si="6"/>
        <v>0</v>
      </c>
      <c r="S204" s="28" t="b">
        <f t="shared" si="7"/>
        <v>0</v>
      </c>
    </row>
    <row r="205" spans="16:19" x14ac:dyDescent="0.2">
      <c r="P205" s="32"/>
      <c r="Q205" s="33"/>
      <c r="R205" s="28" t="b">
        <f t="shared" si="6"/>
        <v>0</v>
      </c>
      <c r="S205" s="28" t="b">
        <f t="shared" si="7"/>
        <v>0</v>
      </c>
    </row>
    <row r="206" spans="16:19" x14ac:dyDescent="0.2">
      <c r="P206" s="32"/>
      <c r="Q206" s="33"/>
      <c r="R206" s="28" t="b">
        <f t="shared" si="6"/>
        <v>0</v>
      </c>
      <c r="S206" s="28" t="b">
        <f t="shared" si="7"/>
        <v>0</v>
      </c>
    </row>
    <row r="207" spans="16:19" x14ac:dyDescent="0.2">
      <c r="P207" s="32"/>
      <c r="Q207" s="33"/>
      <c r="R207" s="28" t="b">
        <f t="shared" si="6"/>
        <v>0</v>
      </c>
      <c r="S207" s="28" t="b">
        <f t="shared" si="7"/>
        <v>0</v>
      </c>
    </row>
    <row r="208" spans="16:19" x14ac:dyDescent="0.2">
      <c r="P208" s="32"/>
      <c r="Q208" s="33"/>
      <c r="R208" s="28" t="b">
        <f t="shared" si="6"/>
        <v>0</v>
      </c>
      <c r="S208" s="28" t="b">
        <f t="shared" si="7"/>
        <v>0</v>
      </c>
    </row>
    <row r="209" spans="16:19" x14ac:dyDescent="0.2">
      <c r="P209" s="32"/>
      <c r="Q209" s="33"/>
      <c r="R209" s="28" t="b">
        <f t="shared" si="6"/>
        <v>0</v>
      </c>
      <c r="S209" s="28" t="b">
        <f t="shared" si="7"/>
        <v>0</v>
      </c>
    </row>
    <row r="210" spans="16:19" x14ac:dyDescent="0.2">
      <c r="P210" s="32"/>
      <c r="Q210" s="33"/>
      <c r="R210" s="28" t="b">
        <f t="shared" si="6"/>
        <v>0</v>
      </c>
      <c r="S210" s="28" t="b">
        <f t="shared" si="7"/>
        <v>0</v>
      </c>
    </row>
    <row r="211" spans="16:19" x14ac:dyDescent="0.2">
      <c r="P211" s="32"/>
      <c r="Q211" s="33"/>
      <c r="R211" s="28" t="b">
        <f t="shared" si="6"/>
        <v>0</v>
      </c>
      <c r="S211" s="28" t="b">
        <f t="shared" si="7"/>
        <v>0</v>
      </c>
    </row>
    <row r="212" spans="16:19" x14ac:dyDescent="0.2">
      <c r="P212" s="32"/>
      <c r="Q212" s="33"/>
      <c r="R212" s="28" t="b">
        <f t="shared" si="6"/>
        <v>0</v>
      </c>
      <c r="S212" s="28" t="b">
        <f t="shared" si="7"/>
        <v>0</v>
      </c>
    </row>
    <row r="213" spans="16:19" x14ac:dyDescent="0.2">
      <c r="P213" s="32"/>
      <c r="Q213" s="33"/>
      <c r="R213" s="28" t="b">
        <f t="shared" si="6"/>
        <v>0</v>
      </c>
      <c r="S213" s="28" t="b">
        <f t="shared" si="7"/>
        <v>0</v>
      </c>
    </row>
    <row r="214" spans="16:19" x14ac:dyDescent="0.2">
      <c r="P214" s="32"/>
      <c r="Q214" s="33"/>
      <c r="R214" s="28" t="b">
        <f t="shared" si="6"/>
        <v>0</v>
      </c>
      <c r="S214" s="28" t="b">
        <f t="shared" si="7"/>
        <v>0</v>
      </c>
    </row>
    <row r="215" spans="16:19" x14ac:dyDescent="0.2">
      <c r="P215" s="32"/>
      <c r="Q215" s="33"/>
      <c r="R215" s="28" t="b">
        <f t="shared" si="6"/>
        <v>0</v>
      </c>
      <c r="S215" s="28" t="b">
        <f t="shared" si="7"/>
        <v>0</v>
      </c>
    </row>
    <row r="216" spans="16:19" x14ac:dyDescent="0.2">
      <c r="P216" s="32"/>
      <c r="Q216" s="33"/>
      <c r="R216" s="28" t="b">
        <f t="shared" si="6"/>
        <v>0</v>
      </c>
      <c r="S216" s="28" t="b">
        <f t="shared" si="7"/>
        <v>0</v>
      </c>
    </row>
    <row r="217" spans="16:19" x14ac:dyDescent="0.2">
      <c r="P217" s="32"/>
      <c r="Q217" s="33"/>
      <c r="R217" s="28" t="b">
        <f t="shared" si="6"/>
        <v>0</v>
      </c>
      <c r="S217" s="28" t="b">
        <f t="shared" si="7"/>
        <v>0</v>
      </c>
    </row>
    <row r="218" spans="16:19" x14ac:dyDescent="0.2">
      <c r="P218" s="32"/>
      <c r="Q218" s="33"/>
      <c r="R218" s="28" t="b">
        <f t="shared" si="6"/>
        <v>0</v>
      </c>
      <c r="S218" s="28" t="b">
        <f t="shared" si="7"/>
        <v>0</v>
      </c>
    </row>
    <row r="219" spans="16:19" x14ac:dyDescent="0.2">
      <c r="P219" s="32"/>
      <c r="Q219" s="33"/>
      <c r="R219" s="28" t="b">
        <f t="shared" si="6"/>
        <v>0</v>
      </c>
      <c r="S219" s="28" t="b">
        <f t="shared" si="7"/>
        <v>0</v>
      </c>
    </row>
    <row r="220" spans="16:19" x14ac:dyDescent="0.2">
      <c r="P220" s="32"/>
      <c r="Q220" s="33"/>
      <c r="R220" s="28" t="b">
        <f t="shared" si="6"/>
        <v>0</v>
      </c>
      <c r="S220" s="28" t="b">
        <f t="shared" si="7"/>
        <v>0</v>
      </c>
    </row>
    <row r="221" spans="16:19" x14ac:dyDescent="0.2">
      <c r="P221" s="32"/>
      <c r="Q221" s="33"/>
      <c r="R221" s="28" t="b">
        <f t="shared" si="6"/>
        <v>0</v>
      </c>
      <c r="S221" s="28" t="b">
        <f t="shared" si="7"/>
        <v>0</v>
      </c>
    </row>
    <row r="222" spans="16:19" x14ac:dyDescent="0.2">
      <c r="P222" s="32"/>
      <c r="Q222" s="33"/>
      <c r="R222" s="28" t="b">
        <f t="shared" si="6"/>
        <v>0</v>
      </c>
      <c r="S222" s="28" t="b">
        <f t="shared" si="7"/>
        <v>0</v>
      </c>
    </row>
    <row r="223" spans="16:19" x14ac:dyDescent="0.2">
      <c r="P223" s="32"/>
      <c r="Q223" s="33"/>
      <c r="R223" s="28" t="b">
        <f t="shared" si="6"/>
        <v>0</v>
      </c>
      <c r="S223" s="28" t="b">
        <f t="shared" si="7"/>
        <v>0</v>
      </c>
    </row>
    <row r="224" spans="16:19" x14ac:dyDescent="0.2">
      <c r="P224" s="32"/>
      <c r="Q224" s="33"/>
      <c r="R224" s="28" t="b">
        <f t="shared" si="6"/>
        <v>0</v>
      </c>
      <c r="S224" s="28" t="b">
        <f t="shared" si="7"/>
        <v>0</v>
      </c>
    </row>
    <row r="225" spans="16:19" x14ac:dyDescent="0.2">
      <c r="P225" s="32"/>
      <c r="Q225" s="33"/>
      <c r="R225" s="28" t="b">
        <f t="shared" si="6"/>
        <v>0</v>
      </c>
      <c r="S225" s="28" t="b">
        <f t="shared" si="7"/>
        <v>0</v>
      </c>
    </row>
    <row r="226" spans="16:19" x14ac:dyDescent="0.2">
      <c r="P226" s="32"/>
      <c r="Q226" s="33"/>
      <c r="R226" s="28" t="b">
        <f t="shared" si="6"/>
        <v>0</v>
      </c>
      <c r="S226" s="28" t="b">
        <f t="shared" si="7"/>
        <v>0</v>
      </c>
    </row>
    <row r="227" spans="16:19" x14ac:dyDescent="0.2">
      <c r="P227" s="32"/>
      <c r="Q227" s="33"/>
      <c r="R227" s="28" t="b">
        <f t="shared" si="6"/>
        <v>0</v>
      </c>
      <c r="S227" s="28" t="b">
        <f t="shared" si="7"/>
        <v>0</v>
      </c>
    </row>
    <row r="228" spans="16:19" x14ac:dyDescent="0.2">
      <c r="P228" s="32"/>
      <c r="Q228" s="33"/>
      <c r="R228" s="28" t="b">
        <f t="shared" si="6"/>
        <v>0</v>
      </c>
      <c r="S228" s="28" t="b">
        <f t="shared" si="7"/>
        <v>0</v>
      </c>
    </row>
    <row r="229" spans="16:19" x14ac:dyDescent="0.2">
      <c r="P229" s="32"/>
      <c r="Q229" s="33"/>
      <c r="R229" s="28" t="b">
        <f t="shared" si="6"/>
        <v>0</v>
      </c>
      <c r="S229" s="28" t="b">
        <f t="shared" si="7"/>
        <v>0</v>
      </c>
    </row>
    <row r="230" spans="16:19" x14ac:dyDescent="0.2">
      <c r="P230" s="32"/>
      <c r="Q230" s="33"/>
      <c r="R230" s="28" t="b">
        <f t="shared" si="6"/>
        <v>0</v>
      </c>
      <c r="S230" s="28" t="b">
        <f t="shared" si="7"/>
        <v>0</v>
      </c>
    </row>
    <row r="231" spans="16:19" x14ac:dyDescent="0.2">
      <c r="P231" s="32"/>
      <c r="Q231" s="33"/>
      <c r="R231" s="28" t="b">
        <f t="shared" si="6"/>
        <v>0</v>
      </c>
      <c r="S231" s="28" t="b">
        <f t="shared" si="7"/>
        <v>0</v>
      </c>
    </row>
    <row r="232" spans="16:19" x14ac:dyDescent="0.2">
      <c r="P232" s="32"/>
      <c r="Q232" s="33"/>
      <c r="R232" s="28" t="b">
        <f t="shared" si="6"/>
        <v>0</v>
      </c>
      <c r="S232" s="28" t="b">
        <f t="shared" si="7"/>
        <v>0</v>
      </c>
    </row>
    <row r="233" spans="16:19" x14ac:dyDescent="0.2">
      <c r="P233" s="32"/>
      <c r="Q233" s="33"/>
      <c r="R233" s="28" t="b">
        <f t="shared" si="6"/>
        <v>0</v>
      </c>
      <c r="S233" s="28" t="b">
        <f t="shared" si="7"/>
        <v>0</v>
      </c>
    </row>
    <row r="234" spans="16:19" x14ac:dyDescent="0.2">
      <c r="P234" s="32"/>
      <c r="Q234" s="33"/>
      <c r="R234" s="28" t="b">
        <f t="shared" si="6"/>
        <v>0</v>
      </c>
      <c r="S234" s="28" t="b">
        <f t="shared" si="7"/>
        <v>0</v>
      </c>
    </row>
    <row r="235" spans="16:19" x14ac:dyDescent="0.2">
      <c r="P235" s="32"/>
      <c r="Q235" s="33"/>
      <c r="R235" s="28" t="b">
        <f t="shared" si="6"/>
        <v>0</v>
      </c>
      <c r="S235" s="28" t="b">
        <f t="shared" si="7"/>
        <v>0</v>
      </c>
    </row>
    <row r="236" spans="16:19" x14ac:dyDescent="0.2">
      <c r="P236" s="32"/>
      <c r="Q236" s="33"/>
      <c r="R236" s="28" t="b">
        <f t="shared" si="6"/>
        <v>0</v>
      </c>
      <c r="S236" s="28" t="b">
        <f t="shared" si="7"/>
        <v>0</v>
      </c>
    </row>
    <row r="237" spans="16:19" x14ac:dyDescent="0.2">
      <c r="P237" s="32"/>
      <c r="Q237" s="33"/>
      <c r="R237" s="28" t="b">
        <f t="shared" si="6"/>
        <v>0</v>
      </c>
      <c r="S237" s="28" t="b">
        <f t="shared" si="7"/>
        <v>0</v>
      </c>
    </row>
    <row r="238" spans="16:19" x14ac:dyDescent="0.2">
      <c r="P238" s="32"/>
      <c r="Q238" s="33"/>
      <c r="R238" s="28" t="b">
        <f t="shared" si="6"/>
        <v>0</v>
      </c>
      <c r="S238" s="28" t="b">
        <f t="shared" si="7"/>
        <v>0</v>
      </c>
    </row>
    <row r="239" spans="16:19" x14ac:dyDescent="0.2">
      <c r="P239" s="32"/>
      <c r="Q239" s="33"/>
      <c r="R239" s="28" t="b">
        <f t="shared" si="6"/>
        <v>0</v>
      </c>
      <c r="S239" s="28" t="b">
        <f t="shared" si="7"/>
        <v>0</v>
      </c>
    </row>
    <row r="240" spans="16:19" x14ac:dyDescent="0.2">
      <c r="P240" s="32"/>
      <c r="Q240" s="33"/>
      <c r="R240" s="28" t="b">
        <f t="shared" si="6"/>
        <v>0</v>
      </c>
      <c r="S240" s="28" t="b">
        <f t="shared" si="7"/>
        <v>0</v>
      </c>
    </row>
    <row r="241" spans="16:19" x14ac:dyDescent="0.2">
      <c r="P241" s="32"/>
      <c r="Q241" s="33"/>
      <c r="R241" s="28" t="b">
        <f t="shared" si="6"/>
        <v>0</v>
      </c>
      <c r="S241" s="28" t="b">
        <f t="shared" si="7"/>
        <v>0</v>
      </c>
    </row>
    <row r="242" spans="16:19" x14ac:dyDescent="0.2">
      <c r="P242" s="32"/>
      <c r="Q242" s="33"/>
      <c r="R242" s="28" t="b">
        <f t="shared" si="6"/>
        <v>0</v>
      </c>
      <c r="S242" s="28" t="b">
        <f t="shared" si="7"/>
        <v>0</v>
      </c>
    </row>
    <row r="243" spans="16:19" x14ac:dyDescent="0.2">
      <c r="P243" s="32"/>
      <c r="Q243" s="33"/>
      <c r="R243" s="28" t="b">
        <f t="shared" si="6"/>
        <v>0</v>
      </c>
      <c r="S243" s="28" t="b">
        <f t="shared" si="7"/>
        <v>0</v>
      </c>
    </row>
    <row r="244" spans="16:19" x14ac:dyDescent="0.2">
      <c r="P244" s="32"/>
      <c r="Q244" s="33"/>
      <c r="R244" s="28" t="b">
        <f t="shared" si="6"/>
        <v>0</v>
      </c>
      <c r="S244" s="28" t="b">
        <f t="shared" si="7"/>
        <v>0</v>
      </c>
    </row>
    <row r="245" spans="16:19" x14ac:dyDescent="0.2">
      <c r="P245" s="32"/>
      <c r="Q245" s="33"/>
      <c r="R245" s="28" t="b">
        <f t="shared" si="6"/>
        <v>0</v>
      </c>
      <c r="S245" s="28" t="b">
        <f t="shared" si="7"/>
        <v>0</v>
      </c>
    </row>
    <row r="246" spans="16:19" x14ac:dyDescent="0.2">
      <c r="P246" s="32"/>
      <c r="Q246" s="33"/>
      <c r="R246" s="28" t="b">
        <f t="shared" si="6"/>
        <v>0</v>
      </c>
      <c r="S246" s="28" t="b">
        <f t="shared" si="7"/>
        <v>0</v>
      </c>
    </row>
    <row r="247" spans="16:19" x14ac:dyDescent="0.2">
      <c r="P247" s="32"/>
      <c r="Q247" s="33"/>
      <c r="R247" s="28" t="b">
        <f t="shared" si="6"/>
        <v>0</v>
      </c>
      <c r="S247" s="28" t="b">
        <f t="shared" si="7"/>
        <v>0</v>
      </c>
    </row>
    <row r="248" spans="16:19" x14ac:dyDescent="0.2">
      <c r="P248" s="32"/>
      <c r="Q248" s="33"/>
      <c r="R248" s="28" t="b">
        <f t="shared" si="6"/>
        <v>0</v>
      </c>
      <c r="S248" s="28" t="b">
        <f t="shared" si="7"/>
        <v>0</v>
      </c>
    </row>
    <row r="249" spans="16:19" x14ac:dyDescent="0.2">
      <c r="P249" s="32"/>
      <c r="Q249" s="33"/>
      <c r="R249" s="28" t="b">
        <f t="shared" si="6"/>
        <v>0</v>
      </c>
      <c r="S249" s="28" t="b">
        <f t="shared" si="7"/>
        <v>0</v>
      </c>
    </row>
    <row r="250" spans="16:19" x14ac:dyDescent="0.2">
      <c r="P250" s="32"/>
      <c r="Q250" s="33"/>
      <c r="R250" s="28" t="b">
        <f t="shared" si="6"/>
        <v>0</v>
      </c>
      <c r="S250" s="28" t="b">
        <f t="shared" si="7"/>
        <v>0</v>
      </c>
    </row>
    <row r="251" spans="16:19" x14ac:dyDescent="0.2">
      <c r="P251" s="32"/>
      <c r="Q251" s="33"/>
      <c r="R251" s="28" t="b">
        <f t="shared" si="6"/>
        <v>0</v>
      </c>
      <c r="S251" s="28" t="b">
        <f t="shared" si="7"/>
        <v>0</v>
      </c>
    </row>
    <row r="252" spans="16:19" x14ac:dyDescent="0.2">
      <c r="P252" s="32"/>
      <c r="Q252" s="33"/>
      <c r="R252" s="28" t="b">
        <f t="shared" si="6"/>
        <v>0</v>
      </c>
      <c r="S252" s="28" t="b">
        <f t="shared" si="7"/>
        <v>0</v>
      </c>
    </row>
  </sheetData>
  <sheetProtection sheet="1" objects="1" scenarios="1" selectLockedCells="1"/>
  <mergeCells count="12">
    <mergeCell ref="A38:C38"/>
    <mergeCell ref="A1:B2"/>
    <mergeCell ref="C1:C2"/>
    <mergeCell ref="E1:G1"/>
    <mergeCell ref="B3:C3"/>
    <mergeCell ref="B4:C4"/>
    <mergeCell ref="A8:C8"/>
    <mergeCell ref="A15:C15"/>
    <mergeCell ref="A20:C20"/>
    <mergeCell ref="E26:G26"/>
    <mergeCell ref="A31:C31"/>
    <mergeCell ref="A34:C34"/>
  </mergeCells>
  <pageMargins left="0.39370078740157483" right="0.39370078740157483" top="0.82677165354330717" bottom="0.31496062992125984" header="0.19685039370078741" footer="0.11811023622047245"/>
  <pageSetup paperSize="9" scale="61"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2"/>
  <sheetViews>
    <sheetView zoomScale="75" workbookViewId="0">
      <selection activeCell="B35" sqref="B35:C35"/>
    </sheetView>
  </sheetViews>
  <sheetFormatPr baseColWidth="10" defaultColWidth="11.5703125" defaultRowHeight="12.75" x14ac:dyDescent="0.2"/>
  <cols>
    <col min="1" max="1" width="25.7109375" style="1" customWidth="1"/>
    <col min="2" max="2" width="14.5703125" style="1" customWidth="1"/>
    <col min="3" max="3" width="21.28515625" style="1" customWidth="1"/>
    <col min="4" max="4" width="5.42578125" style="1" customWidth="1"/>
    <col min="5" max="5" width="11.5703125" style="1"/>
    <col min="6" max="6" width="17.5703125" style="1" customWidth="1"/>
    <col min="7" max="7" width="12.42578125" style="1" bestFit="1" customWidth="1"/>
    <col min="8" max="8" width="17.85546875" style="1" customWidth="1"/>
    <col min="9" max="9" width="11.5703125" style="1"/>
    <col min="10" max="10" width="15.140625" style="1" customWidth="1"/>
    <col min="11" max="11" width="12.42578125" style="1" bestFit="1" customWidth="1"/>
    <col min="12" max="12" width="14.42578125" style="1" customWidth="1"/>
    <col min="13" max="13" width="12.42578125" style="1" customWidth="1"/>
    <col min="14" max="14" width="14.7109375" style="1" customWidth="1"/>
    <col min="15" max="15" width="23.28515625" style="1" customWidth="1"/>
    <col min="16" max="16" width="12" style="1" customWidth="1"/>
    <col min="17" max="17" width="15.28515625" style="1" bestFit="1" customWidth="1"/>
    <col min="18" max="16384" width="11.5703125" style="1"/>
  </cols>
  <sheetData>
    <row r="1" spans="1:21" ht="15" customHeight="1" x14ac:dyDescent="0.25">
      <c r="A1" s="153" t="s">
        <v>148</v>
      </c>
      <c r="B1" s="153"/>
      <c r="C1" s="169"/>
      <c r="D1" s="19"/>
      <c r="E1" s="148" t="s">
        <v>91</v>
      </c>
      <c r="F1" s="148"/>
      <c r="G1" s="148"/>
      <c r="H1" s="19"/>
      <c r="I1" s="19"/>
      <c r="J1" s="19"/>
      <c r="K1" s="19"/>
      <c r="L1" s="19"/>
      <c r="M1" s="19"/>
      <c r="N1" s="35"/>
      <c r="O1" s="19"/>
    </row>
    <row r="2" spans="1:21" ht="15" customHeight="1" x14ac:dyDescent="0.2">
      <c r="A2" s="153"/>
      <c r="B2" s="153"/>
      <c r="C2" s="169"/>
      <c r="D2" s="19"/>
      <c r="E2" s="19"/>
      <c r="F2" s="19"/>
      <c r="G2" s="19"/>
      <c r="H2" s="19"/>
      <c r="I2" s="19"/>
      <c r="J2" s="19"/>
      <c r="K2" s="19"/>
      <c r="L2" s="19"/>
      <c r="M2" s="19"/>
      <c r="N2" s="35"/>
      <c r="O2" s="19"/>
      <c r="P2" s="120" t="s">
        <v>0</v>
      </c>
      <c r="Q2" s="120" t="s">
        <v>34</v>
      </c>
      <c r="R2" s="121" t="s">
        <v>57</v>
      </c>
      <c r="S2" s="121" t="s">
        <v>58</v>
      </c>
    </row>
    <row r="3" spans="1:21" ht="15" customHeight="1" x14ac:dyDescent="0.2">
      <c r="A3" s="117" t="s">
        <v>100</v>
      </c>
      <c r="B3" s="172">
        <f>pH!B3</f>
        <v>0</v>
      </c>
      <c r="C3" s="172"/>
      <c r="D3" s="19"/>
      <c r="E3" s="19"/>
      <c r="F3" s="19"/>
      <c r="G3" s="19"/>
      <c r="H3" s="36"/>
      <c r="I3" s="19"/>
      <c r="J3" s="19"/>
      <c r="K3" s="19"/>
      <c r="L3" s="19"/>
      <c r="M3" s="19"/>
      <c r="N3" s="19"/>
      <c r="O3" s="19"/>
      <c r="P3" s="32"/>
      <c r="Q3" s="33"/>
      <c r="R3" s="28" t="b">
        <f>IF($P3&gt;0,$B$17+$B$18*$P3)</f>
        <v>0</v>
      </c>
      <c r="S3" s="28" t="b">
        <f>IF($P3&gt;0,$Q3-$R3)</f>
        <v>0</v>
      </c>
    </row>
    <row r="4" spans="1:21" ht="15" customHeight="1" x14ac:dyDescent="0.2">
      <c r="A4" s="117" t="s">
        <v>101</v>
      </c>
      <c r="B4" s="170">
        <f>pH!B4</f>
        <v>0</v>
      </c>
      <c r="C4" s="171"/>
      <c r="D4" s="19"/>
      <c r="E4" s="19"/>
      <c r="F4" s="19"/>
      <c r="G4" s="19"/>
      <c r="H4" s="19"/>
      <c r="I4" s="19"/>
      <c r="J4" s="19"/>
      <c r="K4" s="19"/>
      <c r="L4" s="19"/>
      <c r="M4" s="19"/>
      <c r="N4" s="19"/>
      <c r="O4" s="19"/>
      <c r="P4" s="48"/>
      <c r="Q4" s="49"/>
      <c r="R4" s="28" t="b">
        <f t="shared" ref="R4:R67" si="0">IF($P4&gt;0,$B$17+$B$18*$P4)</f>
        <v>0</v>
      </c>
      <c r="S4" s="28" t="b">
        <f t="shared" ref="S4:S67" si="1">IF($P4&gt;0,$Q4-$R4)</f>
        <v>0</v>
      </c>
    </row>
    <row r="5" spans="1:21" ht="15" customHeight="1" x14ac:dyDescent="0.2">
      <c r="A5" s="130" t="s">
        <v>102</v>
      </c>
      <c r="B5" s="29"/>
      <c r="C5" s="19"/>
      <c r="D5" s="19"/>
      <c r="E5" s="19"/>
      <c r="F5" s="19"/>
      <c r="G5" s="19"/>
      <c r="H5" s="19"/>
      <c r="I5" s="19"/>
      <c r="J5" s="19"/>
      <c r="K5" s="19"/>
      <c r="L5" s="19"/>
      <c r="M5" s="19"/>
      <c r="N5" s="19"/>
      <c r="O5" s="19"/>
      <c r="P5" s="32"/>
      <c r="Q5" s="33"/>
      <c r="R5" s="28" t="b">
        <f t="shared" si="0"/>
        <v>0</v>
      </c>
      <c r="S5" s="28" t="b">
        <f t="shared" si="1"/>
        <v>0</v>
      </c>
    </row>
    <row r="6" spans="1:21" ht="15" customHeight="1" x14ac:dyDescent="0.2">
      <c r="A6" s="130" t="s">
        <v>18</v>
      </c>
      <c r="B6" s="34"/>
      <c r="C6" s="19"/>
      <c r="D6" s="19"/>
      <c r="E6" s="19"/>
      <c r="F6" s="19"/>
      <c r="G6" s="19"/>
      <c r="H6" s="19"/>
      <c r="I6" s="19"/>
      <c r="J6" s="19"/>
      <c r="K6" s="19"/>
      <c r="L6" s="19"/>
      <c r="M6" s="19"/>
      <c r="N6" s="19"/>
      <c r="O6" s="19"/>
      <c r="P6" s="32"/>
      <c r="Q6" s="33"/>
      <c r="R6" s="28" t="b">
        <f t="shared" si="0"/>
        <v>0</v>
      </c>
      <c r="S6" s="28" t="b">
        <f t="shared" si="1"/>
        <v>0</v>
      </c>
    </row>
    <row r="7" spans="1:21" ht="15" customHeight="1" x14ac:dyDescent="0.2">
      <c r="A7" s="26"/>
      <c r="B7" s="19"/>
      <c r="C7" s="19"/>
      <c r="D7" s="19"/>
      <c r="E7" s="19"/>
      <c r="F7" s="19"/>
      <c r="G7" s="36"/>
      <c r="H7" s="19"/>
      <c r="I7" s="19"/>
      <c r="J7" s="19"/>
      <c r="K7" s="19"/>
      <c r="L7" s="19"/>
      <c r="M7" s="19"/>
      <c r="N7" s="19"/>
      <c r="O7" s="19"/>
      <c r="P7" s="32"/>
      <c r="Q7" s="33"/>
      <c r="R7" s="28" t="b">
        <f t="shared" si="0"/>
        <v>0</v>
      </c>
      <c r="S7" s="28" t="b">
        <f t="shared" si="1"/>
        <v>0</v>
      </c>
    </row>
    <row r="8" spans="1:21" ht="15" customHeight="1" x14ac:dyDescent="0.25">
      <c r="A8" s="144" t="s">
        <v>12</v>
      </c>
      <c r="B8" s="144"/>
      <c r="C8" s="144"/>
      <c r="D8" s="19"/>
      <c r="E8" s="19"/>
      <c r="F8" s="19"/>
      <c r="G8" s="19"/>
      <c r="H8" s="19"/>
      <c r="I8" s="19"/>
      <c r="J8" s="19"/>
      <c r="K8" s="19"/>
      <c r="L8" s="19"/>
      <c r="M8" s="19"/>
      <c r="N8" s="19"/>
      <c r="O8" s="19"/>
      <c r="P8" s="32"/>
      <c r="Q8" s="33"/>
      <c r="R8" s="28" t="b">
        <f t="shared" si="0"/>
        <v>0</v>
      </c>
      <c r="S8" s="28" t="b">
        <f t="shared" si="1"/>
        <v>0</v>
      </c>
    </row>
    <row r="9" spans="1:21" ht="15" customHeight="1" x14ac:dyDescent="0.2">
      <c r="A9" s="117" t="s">
        <v>11</v>
      </c>
      <c r="B9" s="20">
        <f>COUNT($Q3:$Q252)</f>
        <v>0</v>
      </c>
      <c r="C9" s="50"/>
      <c r="D9" s="19"/>
      <c r="E9" s="19"/>
      <c r="F9" s="19"/>
      <c r="G9" s="19"/>
      <c r="H9" s="19"/>
      <c r="I9" s="19"/>
      <c r="J9" s="19"/>
      <c r="K9" s="19"/>
      <c r="L9" s="19"/>
      <c r="M9" s="19"/>
      <c r="N9" s="19"/>
      <c r="O9" s="19"/>
      <c r="P9" s="32"/>
      <c r="Q9" s="33"/>
      <c r="R9" s="28" t="b">
        <f t="shared" si="0"/>
        <v>0</v>
      </c>
      <c r="S9" s="28" t="b">
        <f t="shared" si="1"/>
        <v>0</v>
      </c>
    </row>
    <row r="10" spans="1:21" ht="15" customHeight="1" x14ac:dyDescent="0.2">
      <c r="A10" s="117" t="s">
        <v>7</v>
      </c>
      <c r="B10" s="21">
        <f>MIN($Q3:$Q252)</f>
        <v>0</v>
      </c>
      <c r="C10" s="50"/>
      <c r="D10" s="19"/>
      <c r="E10" s="19"/>
      <c r="F10" s="19"/>
      <c r="G10" s="19"/>
      <c r="H10" s="19"/>
      <c r="I10" s="19"/>
      <c r="J10" s="19"/>
      <c r="K10" s="19"/>
      <c r="L10" s="19"/>
      <c r="M10" s="19"/>
      <c r="N10" s="19"/>
      <c r="O10" s="19"/>
      <c r="P10" s="32"/>
      <c r="Q10" s="33"/>
      <c r="R10" s="28" t="b">
        <f t="shared" si="0"/>
        <v>0</v>
      </c>
      <c r="S10" s="28" t="b">
        <f t="shared" si="1"/>
        <v>0</v>
      </c>
    </row>
    <row r="11" spans="1:21" ht="15" customHeight="1" x14ac:dyDescent="0.2">
      <c r="A11" s="117" t="s">
        <v>8</v>
      </c>
      <c r="B11" s="21">
        <f>MAX($Q3:$Q252)</f>
        <v>0</v>
      </c>
      <c r="C11" s="50"/>
      <c r="D11" s="19"/>
      <c r="E11" s="19"/>
      <c r="F11" s="19"/>
      <c r="G11" s="19"/>
      <c r="H11" s="19"/>
      <c r="I11" s="19"/>
      <c r="J11" s="19"/>
      <c r="K11" s="19"/>
      <c r="L11" s="19"/>
      <c r="M11" s="19"/>
      <c r="N11" s="19"/>
      <c r="O11" s="19"/>
      <c r="P11" s="32"/>
      <c r="Q11" s="33"/>
      <c r="R11" s="28" t="b">
        <f t="shared" si="0"/>
        <v>0</v>
      </c>
      <c r="S11" s="28" t="b">
        <f t="shared" si="1"/>
        <v>0</v>
      </c>
      <c r="U11" s="3"/>
    </row>
    <row r="12" spans="1:21" ht="15" customHeight="1" x14ac:dyDescent="0.2">
      <c r="A12" s="117" t="s">
        <v>68</v>
      </c>
      <c r="B12" s="21" t="e">
        <f>MEDIAN($Q3:$Q252)</f>
        <v>#NUM!</v>
      </c>
      <c r="C12" s="50"/>
      <c r="D12" s="19"/>
      <c r="E12" s="19"/>
      <c r="F12" s="19"/>
      <c r="G12" s="19"/>
      <c r="H12" s="19"/>
      <c r="I12" s="19"/>
      <c r="J12" s="19"/>
      <c r="K12" s="19"/>
      <c r="L12" s="19"/>
      <c r="M12" s="19"/>
      <c r="N12" s="19"/>
      <c r="O12" s="19"/>
      <c r="P12" s="32"/>
      <c r="Q12" s="33"/>
      <c r="R12" s="28" t="b">
        <f t="shared" si="0"/>
        <v>0</v>
      </c>
      <c r="S12" s="28" t="b">
        <f t="shared" si="1"/>
        <v>0</v>
      </c>
    </row>
    <row r="13" spans="1:21" ht="15" customHeight="1" x14ac:dyDescent="0.2">
      <c r="A13" s="117" t="s">
        <v>69</v>
      </c>
      <c r="B13" s="20" t="e">
        <f>IF(ABS($B$16)&gt;$J$58,"&gt; 99%",IF(ABS($B$16)&gt;$I$58,"&gt; 95%","nicht signifikant"))</f>
        <v>#DIV/0!</v>
      </c>
      <c r="C13" s="50"/>
      <c r="D13" s="19"/>
      <c r="E13" s="19"/>
      <c r="F13" s="19"/>
      <c r="G13" s="19"/>
      <c r="H13" s="19"/>
      <c r="I13" s="19"/>
      <c r="J13" s="36"/>
      <c r="K13" s="19"/>
      <c r="L13" s="19"/>
      <c r="M13" s="19"/>
      <c r="N13" s="19"/>
      <c r="O13" s="19"/>
      <c r="P13" s="32"/>
      <c r="Q13" s="33"/>
      <c r="R13" s="28" t="b">
        <f t="shared" si="0"/>
        <v>0</v>
      </c>
      <c r="S13" s="28" t="b">
        <f t="shared" si="1"/>
        <v>0</v>
      </c>
    </row>
    <row r="14" spans="1:21" ht="15" customHeight="1" x14ac:dyDescent="0.2">
      <c r="A14" s="26"/>
      <c r="B14" s="26"/>
      <c r="C14" s="26"/>
      <c r="D14" s="19"/>
      <c r="E14" s="19"/>
      <c r="F14" s="19"/>
      <c r="G14" s="19"/>
      <c r="H14" s="19"/>
      <c r="I14" s="19"/>
      <c r="J14" s="19"/>
      <c r="K14" s="19"/>
      <c r="L14" s="19"/>
      <c r="M14" s="19"/>
      <c r="N14" s="19"/>
      <c r="O14" s="19"/>
      <c r="P14" s="32"/>
      <c r="Q14" s="33"/>
      <c r="R14" s="28" t="b">
        <f t="shared" si="0"/>
        <v>0</v>
      </c>
      <c r="S14" s="28" t="b">
        <f t="shared" si="1"/>
        <v>0</v>
      </c>
    </row>
    <row r="15" spans="1:21" ht="15" customHeight="1" x14ac:dyDescent="0.25">
      <c r="A15" s="144" t="s">
        <v>42</v>
      </c>
      <c r="B15" s="144"/>
      <c r="C15" s="144"/>
      <c r="D15" s="19"/>
      <c r="E15" s="19"/>
      <c r="F15" s="19"/>
      <c r="G15" s="19"/>
      <c r="H15" s="19"/>
      <c r="I15" s="19"/>
      <c r="J15" s="19"/>
      <c r="K15" s="19"/>
      <c r="L15" s="19"/>
      <c r="M15" s="19"/>
      <c r="N15" s="19"/>
      <c r="O15" s="19"/>
      <c r="P15" s="32"/>
      <c r="Q15" s="33"/>
      <c r="R15" s="28" t="b">
        <f t="shared" si="0"/>
        <v>0</v>
      </c>
      <c r="S15" s="28" t="b">
        <f t="shared" si="1"/>
        <v>0</v>
      </c>
    </row>
    <row r="16" spans="1:21" ht="15" customHeight="1" x14ac:dyDescent="0.2">
      <c r="A16" s="118" t="s">
        <v>83</v>
      </c>
      <c r="B16" s="22" t="e">
        <f>CORREL($Q$3:$Q$252,$P$3:$P$252)</f>
        <v>#DIV/0!</v>
      </c>
      <c r="C16" s="50"/>
      <c r="D16" s="19"/>
      <c r="E16" s="19"/>
      <c r="F16" s="19"/>
      <c r="G16" s="19"/>
      <c r="H16" s="19"/>
      <c r="I16" s="19"/>
      <c r="J16" s="19"/>
      <c r="K16" s="19"/>
      <c r="L16" s="19"/>
      <c r="M16" s="19"/>
      <c r="N16" s="19"/>
      <c r="O16" s="19"/>
      <c r="P16" s="32"/>
      <c r="Q16" s="33"/>
      <c r="R16" s="28" t="b">
        <f t="shared" si="0"/>
        <v>0</v>
      </c>
      <c r="S16" s="28" t="b">
        <f t="shared" si="1"/>
        <v>0</v>
      </c>
    </row>
    <row r="17" spans="1:19" ht="15" customHeight="1" x14ac:dyDescent="0.2">
      <c r="A17" s="118" t="s">
        <v>84</v>
      </c>
      <c r="B17" s="22" t="e">
        <f>INTERCEPT($Q$3:$Q$252,$P$3:$P$252)</f>
        <v>#DIV/0!</v>
      </c>
      <c r="C17" s="50"/>
      <c r="D17" s="19"/>
      <c r="E17" s="19"/>
      <c r="F17" s="19"/>
      <c r="G17" s="19"/>
      <c r="H17" s="19"/>
      <c r="I17" s="19"/>
      <c r="J17" s="19"/>
      <c r="K17" s="19"/>
      <c r="L17" s="19"/>
      <c r="M17" s="19"/>
      <c r="N17" s="19"/>
      <c r="O17" s="19"/>
      <c r="P17" s="32"/>
      <c r="Q17" s="33"/>
      <c r="R17" s="28" t="b">
        <f t="shared" si="0"/>
        <v>0</v>
      </c>
      <c r="S17" s="28" t="b">
        <f t="shared" si="1"/>
        <v>0</v>
      </c>
    </row>
    <row r="18" spans="1:19" ht="15" customHeight="1" x14ac:dyDescent="0.2">
      <c r="A18" s="118" t="s">
        <v>39</v>
      </c>
      <c r="B18" s="22" t="e">
        <f>SLOPE($Q$3:$Q$252,$P$3:$P$252)</f>
        <v>#DIV/0!</v>
      </c>
      <c r="C18" s="50"/>
      <c r="D18" s="19"/>
      <c r="E18" s="19"/>
      <c r="F18" s="19"/>
      <c r="G18" s="19"/>
      <c r="H18" s="19"/>
      <c r="I18" s="19"/>
      <c r="J18" s="37"/>
      <c r="K18" s="19"/>
      <c r="L18" s="19"/>
      <c r="M18" s="19"/>
      <c r="N18" s="19"/>
      <c r="O18" s="19"/>
      <c r="P18" s="32"/>
      <c r="Q18" s="33"/>
      <c r="R18" s="28" t="b">
        <f t="shared" si="0"/>
        <v>0</v>
      </c>
      <c r="S18" s="28" t="b">
        <f t="shared" si="1"/>
        <v>0</v>
      </c>
    </row>
    <row r="19" spans="1:19" ht="15" customHeight="1" x14ac:dyDescent="0.2">
      <c r="A19" s="26"/>
      <c r="B19" s="26"/>
      <c r="C19" s="26"/>
      <c r="D19" s="19"/>
      <c r="E19" s="19"/>
      <c r="F19" s="19"/>
      <c r="G19" s="19"/>
      <c r="H19" s="19"/>
      <c r="I19" s="19"/>
      <c r="J19" s="19"/>
      <c r="K19" s="19"/>
      <c r="L19" s="19"/>
      <c r="M19" s="19"/>
      <c r="N19" s="19"/>
      <c r="O19" s="19"/>
      <c r="P19" s="32"/>
      <c r="Q19" s="33"/>
      <c r="R19" s="28" t="b">
        <f t="shared" si="0"/>
        <v>0</v>
      </c>
      <c r="S19" s="28" t="b">
        <f t="shared" si="1"/>
        <v>0</v>
      </c>
    </row>
    <row r="20" spans="1:19" ht="15" customHeight="1" x14ac:dyDescent="0.25">
      <c r="A20" s="144" t="s">
        <v>63</v>
      </c>
      <c r="B20" s="144"/>
      <c r="C20" s="144"/>
      <c r="D20" s="19"/>
      <c r="E20" s="19"/>
      <c r="F20" s="19"/>
      <c r="G20" s="19"/>
      <c r="H20" s="19"/>
      <c r="I20" s="35"/>
      <c r="J20" s="19"/>
      <c r="K20" s="38"/>
      <c r="L20" s="19"/>
      <c r="M20" s="19"/>
      <c r="N20" s="19"/>
      <c r="O20" s="19"/>
      <c r="P20" s="32"/>
      <c r="Q20" s="33"/>
      <c r="R20" s="28" t="b">
        <f t="shared" si="0"/>
        <v>0</v>
      </c>
      <c r="S20" s="28" t="b">
        <f t="shared" si="1"/>
        <v>0</v>
      </c>
    </row>
    <row r="21" spans="1:19" ht="15" customHeight="1" x14ac:dyDescent="0.2">
      <c r="A21" s="117" t="s">
        <v>7</v>
      </c>
      <c r="B21" s="21">
        <f>MIN($S$3:$S$252)</f>
        <v>0</v>
      </c>
      <c r="C21" s="50"/>
      <c r="D21" s="19"/>
      <c r="E21" s="19"/>
      <c r="F21" s="19"/>
      <c r="G21" s="19"/>
      <c r="H21" s="19"/>
      <c r="I21" s="19"/>
      <c r="J21" s="19"/>
      <c r="K21" s="19"/>
      <c r="L21" s="19"/>
      <c r="M21" s="19"/>
      <c r="N21" s="19"/>
      <c r="O21" s="19"/>
      <c r="P21" s="32"/>
      <c r="Q21" s="33"/>
      <c r="R21" s="28" t="b">
        <f t="shared" si="0"/>
        <v>0</v>
      </c>
      <c r="S21" s="28" t="b">
        <f t="shared" si="1"/>
        <v>0</v>
      </c>
    </row>
    <row r="22" spans="1:19" ht="15" customHeight="1" x14ac:dyDescent="0.2">
      <c r="A22" s="117" t="s">
        <v>8</v>
      </c>
      <c r="B22" s="21">
        <f>MAX($S$3:$S$252)</f>
        <v>0</v>
      </c>
      <c r="C22" s="50"/>
      <c r="D22" s="19"/>
      <c r="E22" s="19"/>
      <c r="F22" s="19"/>
      <c r="G22" s="19"/>
      <c r="H22" s="19"/>
      <c r="I22" s="19"/>
      <c r="J22" s="19"/>
      <c r="K22" s="19"/>
      <c r="L22" s="19"/>
      <c r="M22" s="19"/>
      <c r="N22" s="19"/>
      <c r="O22" s="19"/>
      <c r="P22" s="32"/>
      <c r="Q22" s="33"/>
      <c r="R22" s="28" t="b">
        <f t="shared" si="0"/>
        <v>0</v>
      </c>
      <c r="S22" s="28" t="b">
        <f t="shared" si="1"/>
        <v>0</v>
      </c>
    </row>
    <row r="23" spans="1:19" ht="15" customHeight="1" x14ac:dyDescent="0.2">
      <c r="A23" s="117" t="s">
        <v>68</v>
      </c>
      <c r="B23" s="21" t="e">
        <f>MEDIAN($S$3:$S$252)</f>
        <v>#NUM!</v>
      </c>
      <c r="C23" s="50"/>
      <c r="D23" s="19"/>
      <c r="E23" s="19"/>
      <c r="F23" s="19"/>
      <c r="G23" s="19"/>
      <c r="H23" s="19"/>
      <c r="I23" s="19"/>
      <c r="J23" s="19"/>
      <c r="K23" s="19"/>
      <c r="L23" s="19"/>
      <c r="M23" s="19"/>
      <c r="N23" s="19"/>
      <c r="O23" s="19"/>
      <c r="P23" s="32"/>
      <c r="Q23" s="33"/>
      <c r="R23" s="28" t="b">
        <f t="shared" si="0"/>
        <v>0</v>
      </c>
      <c r="S23" s="28" t="b">
        <f t="shared" si="1"/>
        <v>0</v>
      </c>
    </row>
    <row r="24" spans="1:19" ht="15" customHeight="1" x14ac:dyDescent="0.2">
      <c r="A24" s="117" t="s">
        <v>73</v>
      </c>
      <c r="B24" s="21" t="e">
        <f>AVERAGE($S$3:$S$252)</f>
        <v>#DIV/0!</v>
      </c>
      <c r="C24" s="50"/>
      <c r="D24" s="19"/>
      <c r="E24" s="19"/>
      <c r="F24" s="19"/>
      <c r="G24" s="19"/>
      <c r="H24" s="19"/>
      <c r="I24" s="19"/>
      <c r="J24" s="19"/>
      <c r="K24" s="19"/>
      <c r="L24" s="19"/>
      <c r="M24" s="19"/>
      <c r="N24" s="19"/>
      <c r="O24" s="19"/>
      <c r="P24" s="32"/>
      <c r="Q24" s="33"/>
      <c r="R24" s="28" t="b">
        <f t="shared" si="0"/>
        <v>0</v>
      </c>
      <c r="S24" s="28" t="b">
        <f t="shared" si="1"/>
        <v>0</v>
      </c>
    </row>
    <row r="25" spans="1:19" ht="15" customHeight="1" x14ac:dyDescent="0.2">
      <c r="A25" s="117" t="s">
        <v>75</v>
      </c>
      <c r="B25" s="23" t="e">
        <f>STDEV($S$3:$S$252)</f>
        <v>#DIV/0!</v>
      </c>
      <c r="C25" s="50"/>
      <c r="D25" s="19"/>
      <c r="E25" s="19"/>
      <c r="F25" s="19"/>
      <c r="G25" s="19"/>
      <c r="H25" s="19"/>
      <c r="I25" s="19"/>
      <c r="J25" s="19"/>
      <c r="K25" s="19"/>
      <c r="L25" s="19"/>
      <c r="M25" s="19"/>
      <c r="N25" s="19"/>
      <c r="O25" s="19"/>
      <c r="P25" s="32"/>
      <c r="Q25" s="33"/>
      <c r="R25" s="28" t="b">
        <f t="shared" si="0"/>
        <v>0</v>
      </c>
      <c r="S25" s="28" t="b">
        <f t="shared" si="1"/>
        <v>0</v>
      </c>
    </row>
    <row r="26" spans="1:19" ht="15" customHeight="1" x14ac:dyDescent="0.25">
      <c r="A26" s="117" t="s">
        <v>92</v>
      </c>
      <c r="B26" s="24" t="e">
        <f>((NORMINV(0.83,B24,B25)-B23)-(B23-NORMINV(0.17,B24,B25)))/(NORMINV(0.83,B24,B25)-NORMINV(0.17,B24,B25))</f>
        <v>#DIV/0!</v>
      </c>
      <c r="C26" s="50"/>
      <c r="D26" s="19"/>
      <c r="E26" s="148"/>
      <c r="F26" s="148"/>
      <c r="G26" s="148"/>
      <c r="H26" s="19"/>
      <c r="I26" s="19"/>
      <c r="J26" s="19"/>
      <c r="K26" s="19"/>
      <c r="L26" s="19"/>
      <c r="M26" s="19"/>
      <c r="N26" s="19"/>
      <c r="O26" s="19"/>
      <c r="P26" s="32"/>
      <c r="Q26" s="33"/>
      <c r="R26" s="28" t="b">
        <f t="shared" si="0"/>
        <v>0</v>
      </c>
      <c r="S26" s="28" t="b">
        <f t="shared" si="1"/>
        <v>0</v>
      </c>
    </row>
    <row r="27" spans="1:19" ht="15" customHeight="1" x14ac:dyDescent="0.2">
      <c r="A27" s="117" t="s">
        <v>85</v>
      </c>
      <c r="B27" s="21" t="e">
        <f>NORMINV(0.95,0,B25)</f>
        <v>#DIV/0!</v>
      </c>
      <c r="C27" s="50"/>
      <c r="D27" s="19"/>
      <c r="E27" s="19"/>
      <c r="F27" s="19"/>
      <c r="G27" s="19"/>
      <c r="H27" s="19"/>
      <c r="I27" s="19"/>
      <c r="J27" s="19"/>
      <c r="K27" s="19"/>
      <c r="L27" s="19"/>
      <c r="M27" s="19"/>
      <c r="N27" s="19"/>
      <c r="O27" s="19"/>
      <c r="P27" s="32"/>
      <c r="Q27" s="33"/>
      <c r="R27" s="28" t="b">
        <f t="shared" si="0"/>
        <v>0</v>
      </c>
      <c r="S27" s="28" t="b">
        <f t="shared" si="1"/>
        <v>0</v>
      </c>
    </row>
    <row r="28" spans="1:19" ht="15" customHeight="1" x14ac:dyDescent="0.2">
      <c r="A28" s="117" t="s">
        <v>86</v>
      </c>
      <c r="B28" s="21" t="e">
        <f>NORMINV(0.98,0,B25)</f>
        <v>#DIV/0!</v>
      </c>
      <c r="C28" s="50"/>
      <c r="D28" s="19"/>
      <c r="E28" s="19"/>
      <c r="F28" s="19"/>
      <c r="G28" s="19"/>
      <c r="H28" s="19"/>
      <c r="I28" s="19"/>
      <c r="J28" s="19"/>
      <c r="K28" s="19"/>
      <c r="L28" s="19"/>
      <c r="M28" s="19"/>
      <c r="N28" s="19"/>
      <c r="O28" s="19"/>
      <c r="P28" s="32"/>
      <c r="Q28" s="33"/>
      <c r="R28" s="28" t="b">
        <f t="shared" si="0"/>
        <v>0</v>
      </c>
      <c r="S28" s="28" t="b">
        <f t="shared" si="1"/>
        <v>0</v>
      </c>
    </row>
    <row r="29" spans="1:19" ht="15" customHeight="1" x14ac:dyDescent="0.2">
      <c r="A29" s="117" t="s">
        <v>44</v>
      </c>
      <c r="B29" s="20" t="e">
        <f>IF(((B22-B21)/B25)&gt;INDEX(XX!B4:'XX'!B150,B9-3),"ja","nein")</f>
        <v>#DIV/0!</v>
      </c>
      <c r="C29" s="50"/>
      <c r="D29" s="19"/>
      <c r="E29" s="19"/>
      <c r="F29" s="19"/>
      <c r="G29" s="19"/>
      <c r="H29" s="19"/>
      <c r="I29" s="19"/>
      <c r="J29" s="19"/>
      <c r="K29" s="19"/>
      <c r="L29" s="19"/>
      <c r="M29" s="19"/>
      <c r="N29" s="19"/>
      <c r="O29" s="19"/>
      <c r="P29" s="32"/>
      <c r="Q29" s="33"/>
      <c r="R29" s="28" t="b">
        <f t="shared" si="0"/>
        <v>0</v>
      </c>
      <c r="S29" s="28" t="b">
        <f t="shared" si="1"/>
        <v>0</v>
      </c>
    </row>
    <row r="30" spans="1:19" ht="15" customHeight="1" x14ac:dyDescent="0.2">
      <c r="A30" s="26"/>
      <c r="B30" s="26"/>
      <c r="C30" s="26"/>
      <c r="D30" s="19"/>
      <c r="E30" s="47"/>
      <c r="F30" s="19"/>
      <c r="G30" s="19"/>
      <c r="H30" s="19"/>
      <c r="I30" s="19"/>
      <c r="J30" s="19"/>
      <c r="K30" s="19"/>
      <c r="L30" s="19"/>
      <c r="M30" s="19"/>
      <c r="N30" s="19"/>
      <c r="O30" s="19"/>
      <c r="P30" s="32"/>
      <c r="Q30" s="33"/>
      <c r="R30" s="28" t="b">
        <f t="shared" si="0"/>
        <v>0</v>
      </c>
      <c r="S30" s="28" t="b">
        <f t="shared" si="1"/>
        <v>0</v>
      </c>
    </row>
    <row r="31" spans="1:19" ht="15" customHeight="1" x14ac:dyDescent="0.25">
      <c r="A31" s="168" t="s">
        <v>88</v>
      </c>
      <c r="B31" s="168"/>
      <c r="C31" s="168"/>
      <c r="D31" s="19"/>
      <c r="E31" s="19"/>
      <c r="F31" s="19"/>
      <c r="G31" s="19"/>
      <c r="H31" s="19"/>
      <c r="I31" s="19"/>
      <c r="J31" s="19"/>
      <c r="K31" s="19"/>
      <c r="L31" s="19"/>
      <c r="M31" s="19"/>
      <c r="N31" s="19"/>
      <c r="O31" s="19"/>
      <c r="P31" s="32"/>
      <c r="Q31" s="33"/>
      <c r="R31" s="28" t="b">
        <f t="shared" si="0"/>
        <v>0</v>
      </c>
      <c r="S31" s="28" t="b">
        <f t="shared" si="1"/>
        <v>0</v>
      </c>
    </row>
    <row r="32" spans="1:19" ht="15" customHeight="1" x14ac:dyDescent="0.2">
      <c r="A32" s="130" t="s">
        <v>89</v>
      </c>
      <c r="B32" s="30">
        <v>0</v>
      </c>
      <c r="C32" s="18"/>
      <c r="D32" s="19"/>
      <c r="E32" s="19"/>
      <c r="F32" s="19"/>
      <c r="G32" s="19"/>
      <c r="H32" s="19"/>
      <c r="I32" s="19"/>
      <c r="J32" s="19"/>
      <c r="K32" s="19"/>
      <c r="L32" s="19"/>
      <c r="M32" s="19"/>
      <c r="N32" s="19"/>
      <c r="O32" s="19"/>
      <c r="P32" s="32"/>
      <c r="Q32" s="33"/>
      <c r="R32" s="28" t="b">
        <f t="shared" si="0"/>
        <v>0</v>
      </c>
      <c r="S32" s="28" t="b">
        <f t="shared" si="1"/>
        <v>0</v>
      </c>
    </row>
    <row r="33" spans="1:19" ht="15" customHeight="1" x14ac:dyDescent="0.2">
      <c r="A33" s="26"/>
      <c r="B33" s="26"/>
      <c r="C33" s="26"/>
      <c r="D33" s="19"/>
      <c r="E33" s="19"/>
      <c r="F33" s="19"/>
      <c r="G33" s="19"/>
      <c r="H33" s="19"/>
      <c r="I33" s="19"/>
      <c r="J33" s="19"/>
      <c r="K33" s="19"/>
      <c r="L33" s="19"/>
      <c r="M33" s="19"/>
      <c r="N33" s="19"/>
      <c r="O33" s="19"/>
      <c r="P33" s="32"/>
      <c r="Q33" s="33"/>
      <c r="R33" s="28" t="b">
        <f t="shared" si="0"/>
        <v>0</v>
      </c>
      <c r="S33" s="28" t="b">
        <f t="shared" si="1"/>
        <v>0</v>
      </c>
    </row>
    <row r="34" spans="1:19" ht="15" customHeight="1" x14ac:dyDescent="0.25">
      <c r="A34" s="144" t="s">
        <v>59</v>
      </c>
      <c r="B34" s="144"/>
      <c r="C34" s="144"/>
      <c r="D34" s="19"/>
      <c r="E34" s="119" t="s">
        <v>60</v>
      </c>
      <c r="F34" s="19"/>
      <c r="G34" s="19"/>
      <c r="H34" s="19"/>
      <c r="I34" s="19"/>
      <c r="J34" s="19"/>
      <c r="K34" s="19"/>
      <c r="L34" s="19"/>
      <c r="M34" s="19"/>
      <c r="N34" s="19"/>
      <c r="O34" s="19"/>
      <c r="P34" s="32"/>
      <c r="Q34" s="33"/>
      <c r="R34" s="28" t="b">
        <f t="shared" si="0"/>
        <v>0</v>
      </c>
      <c r="S34" s="28" t="b">
        <f t="shared" si="1"/>
        <v>0</v>
      </c>
    </row>
    <row r="35" spans="1:19" ht="15" customHeight="1" x14ac:dyDescent="0.2">
      <c r="A35" s="130" t="s">
        <v>87</v>
      </c>
      <c r="B35" s="31"/>
      <c r="C35" s="31"/>
      <c r="D35" s="19"/>
      <c r="E35" s="19"/>
      <c r="F35" s="19"/>
      <c r="G35" s="19"/>
      <c r="H35" s="19"/>
      <c r="I35" s="19"/>
      <c r="J35" s="19"/>
      <c r="K35" s="19"/>
      <c r="L35" s="19"/>
      <c r="M35" s="19"/>
      <c r="N35" s="19"/>
      <c r="O35" s="19"/>
      <c r="P35" s="32"/>
      <c r="Q35" s="33"/>
      <c r="R35" s="28" t="b">
        <f t="shared" si="0"/>
        <v>0</v>
      </c>
      <c r="S35" s="28" t="b">
        <f t="shared" si="1"/>
        <v>0</v>
      </c>
    </row>
    <row r="36" spans="1:19" ht="15" customHeight="1" x14ac:dyDescent="0.2">
      <c r="A36" s="117" t="s">
        <v>54</v>
      </c>
      <c r="B36" s="25">
        <f>B35-B32</f>
        <v>0</v>
      </c>
      <c r="C36" s="25">
        <f>C35-B32</f>
        <v>0</v>
      </c>
      <c r="D36" s="19"/>
      <c r="E36" s="19"/>
      <c r="F36" s="19"/>
      <c r="G36" s="19"/>
      <c r="H36" s="19"/>
      <c r="I36" s="19"/>
      <c r="J36" s="19"/>
      <c r="K36" s="19"/>
      <c r="L36" s="19"/>
      <c r="M36" s="19"/>
      <c r="N36" s="19"/>
      <c r="O36" s="19"/>
      <c r="P36" s="32"/>
      <c r="Q36" s="33"/>
      <c r="R36" s="28" t="b">
        <f t="shared" si="0"/>
        <v>0</v>
      </c>
      <c r="S36" s="28" t="b">
        <f t="shared" si="1"/>
        <v>0</v>
      </c>
    </row>
    <row r="37" spans="1:19" ht="15" customHeight="1" x14ac:dyDescent="0.2">
      <c r="A37" s="26"/>
      <c r="B37" s="26"/>
      <c r="C37" s="27"/>
      <c r="D37" s="19"/>
      <c r="E37" s="19"/>
      <c r="F37" s="19"/>
      <c r="G37" s="19"/>
      <c r="H37" s="19"/>
      <c r="I37" s="19"/>
      <c r="J37" s="19"/>
      <c r="K37" s="19"/>
      <c r="L37" s="19"/>
      <c r="M37" s="19"/>
      <c r="N37" s="19"/>
      <c r="O37" s="19"/>
      <c r="P37" s="32"/>
      <c r="Q37" s="33"/>
      <c r="R37" s="28" t="b">
        <f t="shared" si="0"/>
        <v>0</v>
      </c>
      <c r="S37" s="28" t="b">
        <f t="shared" si="1"/>
        <v>0</v>
      </c>
    </row>
    <row r="38" spans="1:19" ht="15" customHeight="1" x14ac:dyDescent="0.25">
      <c r="A38" s="144" t="s">
        <v>90</v>
      </c>
      <c r="B38" s="144"/>
      <c r="C38" s="144"/>
      <c r="D38" s="19"/>
      <c r="E38" s="19"/>
      <c r="F38" s="19"/>
      <c r="G38" s="19"/>
      <c r="H38" s="19"/>
      <c r="I38" s="19"/>
      <c r="J38" s="19"/>
      <c r="K38" s="19"/>
      <c r="L38" s="19"/>
      <c r="M38" s="19"/>
      <c r="N38" s="19"/>
      <c r="O38" s="19"/>
      <c r="P38" s="32"/>
      <c r="Q38" s="33"/>
      <c r="R38" s="28" t="b">
        <f t="shared" si="0"/>
        <v>0</v>
      </c>
      <c r="S38" s="28" t="b">
        <f t="shared" si="1"/>
        <v>0</v>
      </c>
    </row>
    <row r="39" spans="1:19" ht="15" customHeight="1" x14ac:dyDescent="0.2">
      <c r="A39" s="118" t="s">
        <v>67</v>
      </c>
      <c r="B39" s="21" t="e">
        <f>MAX($B$17+$B$18*$B36+$B$28+0.5*$B$6,$B$17+$B$18*$C36+$B$28+0.5*$B$6,$B$6)</f>
        <v>#DIV/0!</v>
      </c>
      <c r="C39" s="50"/>
      <c r="D39" s="19"/>
      <c r="E39" s="19"/>
      <c r="F39" s="19"/>
      <c r="G39" s="19"/>
      <c r="H39" s="19"/>
      <c r="I39" s="19"/>
      <c r="J39" s="19"/>
      <c r="K39" s="19"/>
      <c r="L39" s="19"/>
      <c r="M39" s="19"/>
      <c r="N39" s="19"/>
      <c r="O39" s="19"/>
      <c r="P39" s="32"/>
      <c r="Q39" s="33"/>
      <c r="R39" s="28" t="b">
        <f t="shared" si="0"/>
        <v>0</v>
      </c>
      <c r="S39" s="28" t="b">
        <f t="shared" si="1"/>
        <v>0</v>
      </c>
    </row>
    <row r="40" spans="1:19" ht="15" x14ac:dyDescent="0.2">
      <c r="A40" s="118" t="s">
        <v>61</v>
      </c>
      <c r="B40" s="21" t="e">
        <f>INDEX($R$3:$R$252,B9)+$B$28+0.5*$B$6</f>
        <v>#DIV/0!</v>
      </c>
      <c r="C40" s="50"/>
      <c r="D40" s="19"/>
      <c r="E40" s="19"/>
      <c r="F40" s="19"/>
      <c r="G40" s="19"/>
      <c r="H40" s="19"/>
      <c r="I40" s="19"/>
      <c r="J40" s="19"/>
      <c r="K40" s="19"/>
      <c r="L40" s="19"/>
      <c r="M40" s="19"/>
      <c r="N40" s="19"/>
      <c r="O40" s="19"/>
      <c r="P40" s="32"/>
      <c r="Q40" s="33"/>
      <c r="R40" s="28" t="b">
        <f t="shared" si="0"/>
        <v>0</v>
      </c>
      <c r="S40" s="28" t="b">
        <f t="shared" si="1"/>
        <v>0</v>
      </c>
    </row>
    <row r="41" spans="1:19" ht="15.75" x14ac:dyDescent="0.25">
      <c r="A41" s="116" t="s">
        <v>81</v>
      </c>
      <c r="B41" s="95" t="e">
        <f>IF($B$18&gt;0,B39,MAX(B40,B39))</f>
        <v>#DIV/0!</v>
      </c>
      <c r="C41" s="51"/>
      <c r="D41" s="19"/>
      <c r="E41" s="19"/>
      <c r="F41" s="19"/>
      <c r="G41" s="19"/>
      <c r="H41" s="19"/>
      <c r="I41" s="19"/>
      <c r="J41" s="19"/>
      <c r="K41" s="19"/>
      <c r="L41" s="19"/>
      <c r="M41" s="19"/>
      <c r="N41" s="19"/>
      <c r="O41" s="19"/>
      <c r="P41" s="32"/>
      <c r="Q41" s="33"/>
      <c r="R41" s="28" t="b">
        <f t="shared" si="0"/>
        <v>0</v>
      </c>
      <c r="S41" s="28" t="b">
        <f t="shared" si="1"/>
        <v>0</v>
      </c>
    </row>
    <row r="42" spans="1:19" x14ac:dyDescent="0.2">
      <c r="A42" s="19"/>
      <c r="B42" s="19"/>
      <c r="C42" s="19"/>
      <c r="D42" s="19"/>
      <c r="E42" s="19"/>
      <c r="F42" s="19"/>
      <c r="G42" s="19"/>
      <c r="H42" s="19"/>
      <c r="I42" s="19"/>
      <c r="J42" s="19"/>
      <c r="K42" s="19"/>
      <c r="L42" s="19"/>
      <c r="M42" s="19"/>
      <c r="N42" s="19"/>
      <c r="O42" s="19"/>
      <c r="P42" s="32"/>
      <c r="Q42" s="33"/>
      <c r="R42" s="28" t="b">
        <f t="shared" si="0"/>
        <v>0</v>
      </c>
      <c r="S42" s="28" t="b">
        <f t="shared" si="1"/>
        <v>0</v>
      </c>
    </row>
    <row r="43" spans="1:19" x14ac:dyDescent="0.2">
      <c r="A43" s="19"/>
      <c r="B43" s="19"/>
      <c r="C43" s="19"/>
      <c r="D43" s="19"/>
      <c r="E43" s="19"/>
      <c r="F43" s="19"/>
      <c r="G43" s="19"/>
      <c r="H43" s="19"/>
      <c r="I43" s="19"/>
      <c r="J43" s="19"/>
      <c r="K43" s="19"/>
      <c r="L43" s="19"/>
      <c r="M43" s="19"/>
      <c r="N43" s="19"/>
      <c r="O43" s="19"/>
      <c r="P43" s="32"/>
      <c r="Q43" s="33"/>
      <c r="R43" s="28" t="b">
        <f t="shared" si="0"/>
        <v>0</v>
      </c>
      <c r="S43" s="28" t="b">
        <f t="shared" si="1"/>
        <v>0</v>
      </c>
    </row>
    <row r="44" spans="1:19" x14ac:dyDescent="0.2">
      <c r="A44" s="19"/>
      <c r="B44" s="19"/>
      <c r="C44" s="19"/>
      <c r="D44" s="19"/>
      <c r="E44" s="19"/>
      <c r="F44" s="19"/>
      <c r="G44" s="19"/>
      <c r="H44" s="19"/>
      <c r="I44" s="19"/>
      <c r="J44" s="19"/>
      <c r="K44" s="19"/>
      <c r="L44" s="19"/>
      <c r="M44" s="19"/>
      <c r="N44" s="19"/>
      <c r="O44" s="19"/>
      <c r="P44" s="32"/>
      <c r="Q44" s="33"/>
      <c r="R44" s="28" t="b">
        <f t="shared" si="0"/>
        <v>0</v>
      </c>
      <c r="S44" s="28" t="b">
        <f t="shared" si="1"/>
        <v>0</v>
      </c>
    </row>
    <row r="45" spans="1:19" x14ac:dyDescent="0.2">
      <c r="A45" s="19"/>
      <c r="B45" s="19"/>
      <c r="C45" s="19"/>
      <c r="D45" s="19"/>
      <c r="E45" s="19"/>
      <c r="F45" s="19"/>
      <c r="G45" s="19"/>
      <c r="H45" s="19"/>
      <c r="I45" s="19"/>
      <c r="J45" s="19"/>
      <c r="K45" s="19"/>
      <c r="L45" s="19"/>
      <c r="M45" s="19"/>
      <c r="N45" s="19"/>
      <c r="O45" s="19"/>
      <c r="P45" s="32"/>
      <c r="Q45" s="33"/>
      <c r="R45" s="28" t="b">
        <f t="shared" si="0"/>
        <v>0</v>
      </c>
      <c r="S45" s="28" t="b">
        <f t="shared" si="1"/>
        <v>0</v>
      </c>
    </row>
    <row r="46" spans="1:19" x14ac:dyDescent="0.2">
      <c r="A46" s="19"/>
      <c r="B46" s="37"/>
      <c r="C46" s="19"/>
      <c r="D46" s="19"/>
      <c r="E46" s="19"/>
      <c r="F46" s="19"/>
      <c r="G46" s="19"/>
      <c r="H46" s="19"/>
      <c r="I46" s="19"/>
      <c r="J46" s="19"/>
      <c r="K46" s="19"/>
      <c r="L46" s="19"/>
      <c r="M46" s="19"/>
      <c r="N46" s="19"/>
      <c r="O46" s="19"/>
      <c r="P46" s="32"/>
      <c r="Q46" s="33"/>
      <c r="R46" s="28" t="b">
        <f t="shared" si="0"/>
        <v>0</v>
      </c>
      <c r="S46" s="28" t="b">
        <f t="shared" si="1"/>
        <v>0</v>
      </c>
    </row>
    <row r="47" spans="1:19" x14ac:dyDescent="0.2">
      <c r="A47" s="19"/>
      <c r="B47" s="19"/>
      <c r="C47" s="19"/>
      <c r="D47" s="19"/>
      <c r="E47" s="19"/>
      <c r="F47" s="19"/>
      <c r="G47" s="19"/>
      <c r="H47" s="19"/>
      <c r="I47" s="19"/>
      <c r="J47" s="19"/>
      <c r="K47" s="19"/>
      <c r="L47" s="19"/>
      <c r="M47" s="19"/>
      <c r="N47" s="19"/>
      <c r="O47" s="19"/>
      <c r="P47" s="32"/>
      <c r="Q47" s="33"/>
      <c r="R47" s="28" t="b">
        <f t="shared" si="0"/>
        <v>0</v>
      </c>
      <c r="S47" s="28" t="b">
        <f t="shared" si="1"/>
        <v>0</v>
      </c>
    </row>
    <row r="48" spans="1:19" x14ac:dyDescent="0.2">
      <c r="A48" s="19"/>
      <c r="B48" s="19"/>
      <c r="C48" s="19"/>
      <c r="D48" s="19"/>
      <c r="E48" s="19"/>
      <c r="F48" s="19"/>
      <c r="G48" s="19"/>
      <c r="H48" s="19"/>
      <c r="I48" s="19"/>
      <c r="J48" s="19"/>
      <c r="K48" s="19"/>
      <c r="L48" s="19"/>
      <c r="M48" s="19"/>
      <c r="N48" s="19"/>
      <c r="O48" s="19"/>
      <c r="P48" s="32"/>
      <c r="Q48" s="33"/>
      <c r="R48" s="28" t="b">
        <f t="shared" si="0"/>
        <v>0</v>
      </c>
      <c r="S48" s="28" t="b">
        <f t="shared" si="1"/>
        <v>0</v>
      </c>
    </row>
    <row r="49" spans="1:19" x14ac:dyDescent="0.2">
      <c r="A49" s="19"/>
      <c r="B49" s="19"/>
      <c r="C49" s="19"/>
      <c r="D49" s="19"/>
      <c r="E49" s="19"/>
      <c r="F49" s="19"/>
      <c r="G49" s="19"/>
      <c r="H49" s="19"/>
      <c r="I49" s="19"/>
      <c r="J49" s="19"/>
      <c r="K49" s="19"/>
      <c r="L49" s="19"/>
      <c r="M49" s="19"/>
      <c r="N49" s="19"/>
      <c r="O49" s="19"/>
      <c r="P49" s="32"/>
      <c r="Q49" s="33"/>
      <c r="R49" s="28" t="b">
        <f t="shared" si="0"/>
        <v>0</v>
      </c>
      <c r="S49" s="28" t="b">
        <f t="shared" si="1"/>
        <v>0</v>
      </c>
    </row>
    <row r="50" spans="1:19" x14ac:dyDescent="0.2">
      <c r="A50" s="19"/>
      <c r="B50" s="19"/>
      <c r="C50" s="19"/>
      <c r="D50" s="19"/>
      <c r="E50" s="19"/>
      <c r="F50" s="19"/>
      <c r="G50" s="19"/>
      <c r="H50" s="19"/>
      <c r="I50" s="19"/>
      <c r="J50" s="19"/>
      <c r="K50" s="19"/>
      <c r="L50" s="19"/>
      <c r="M50" s="19"/>
      <c r="N50" s="19"/>
      <c r="O50" s="19"/>
      <c r="P50" s="32"/>
      <c r="Q50" s="33"/>
      <c r="R50" s="28" t="b">
        <f t="shared" si="0"/>
        <v>0</v>
      </c>
      <c r="S50" s="28" t="b">
        <f t="shared" si="1"/>
        <v>0</v>
      </c>
    </row>
    <row r="51" spans="1:19" x14ac:dyDescent="0.2">
      <c r="A51" s="19"/>
      <c r="B51" s="19"/>
      <c r="C51" s="19"/>
      <c r="D51" s="19"/>
      <c r="E51" s="19"/>
      <c r="F51" s="19"/>
      <c r="G51" s="19"/>
      <c r="H51" s="19"/>
      <c r="I51" s="19"/>
      <c r="J51" s="19"/>
      <c r="K51" s="19"/>
      <c r="L51" s="19"/>
      <c r="M51" s="19"/>
      <c r="N51" s="19"/>
      <c r="O51" s="19"/>
      <c r="P51" s="32"/>
      <c r="Q51" s="33"/>
      <c r="R51" s="28" t="b">
        <f t="shared" si="0"/>
        <v>0</v>
      </c>
      <c r="S51" s="28" t="b">
        <f t="shared" si="1"/>
        <v>0</v>
      </c>
    </row>
    <row r="52" spans="1:19" x14ac:dyDescent="0.2">
      <c r="A52" s="19"/>
      <c r="B52" s="19"/>
      <c r="C52" s="19"/>
      <c r="D52" s="19"/>
      <c r="E52" s="19"/>
      <c r="F52" s="19"/>
      <c r="G52" s="19"/>
      <c r="H52" s="19"/>
      <c r="I52" s="19"/>
      <c r="J52" s="19"/>
      <c r="K52" s="19"/>
      <c r="L52" s="19"/>
      <c r="M52" s="19"/>
      <c r="N52" s="19"/>
      <c r="O52" s="19"/>
      <c r="P52" s="32"/>
      <c r="Q52" s="33"/>
      <c r="R52" s="28" t="b">
        <f t="shared" si="0"/>
        <v>0</v>
      </c>
      <c r="S52" s="28" t="b">
        <f t="shared" si="1"/>
        <v>0</v>
      </c>
    </row>
    <row r="53" spans="1:19" x14ac:dyDescent="0.2">
      <c r="A53" s="19"/>
      <c r="B53" s="19"/>
      <c r="C53" s="19"/>
      <c r="D53" s="19"/>
      <c r="E53" s="19"/>
      <c r="F53" s="19"/>
      <c r="G53" s="19"/>
      <c r="H53" s="19"/>
      <c r="I53" s="19"/>
      <c r="J53" s="19"/>
      <c r="K53" s="19"/>
      <c r="L53" s="19"/>
      <c r="M53" s="19"/>
      <c r="N53" s="19"/>
      <c r="O53" s="19"/>
      <c r="P53" s="32"/>
      <c r="Q53" s="33"/>
      <c r="R53" s="28" t="b">
        <f t="shared" si="0"/>
        <v>0</v>
      </c>
      <c r="S53" s="28" t="b">
        <f t="shared" si="1"/>
        <v>0</v>
      </c>
    </row>
    <row r="54" spans="1:19" x14ac:dyDescent="0.2">
      <c r="A54" s="19"/>
      <c r="B54" s="19"/>
      <c r="C54" s="19"/>
      <c r="D54" s="19"/>
      <c r="E54" s="19"/>
      <c r="F54" s="19"/>
      <c r="G54" s="19"/>
      <c r="H54" s="19"/>
      <c r="I54" s="19"/>
      <c r="J54" s="19"/>
      <c r="K54" s="19"/>
      <c r="L54" s="19"/>
      <c r="M54" s="19"/>
      <c r="N54" s="19"/>
      <c r="O54" s="19"/>
      <c r="P54" s="32"/>
      <c r="Q54" s="33"/>
      <c r="R54" s="28" t="b">
        <f t="shared" si="0"/>
        <v>0</v>
      </c>
      <c r="S54" s="28" t="b">
        <f t="shared" si="1"/>
        <v>0</v>
      </c>
    </row>
    <row r="55" spans="1:19" x14ac:dyDescent="0.2">
      <c r="A55" s="19"/>
      <c r="B55" s="19"/>
      <c r="C55" s="19"/>
      <c r="D55" s="19"/>
      <c r="E55" s="19"/>
      <c r="F55" s="19"/>
      <c r="G55" s="19"/>
      <c r="H55" s="19"/>
      <c r="I55" s="19"/>
      <c r="J55" s="19"/>
      <c r="K55" s="19"/>
      <c r="L55" s="19"/>
      <c r="M55" s="19"/>
      <c r="N55" s="19"/>
      <c r="O55" s="19"/>
      <c r="P55" s="32"/>
      <c r="Q55" s="33"/>
      <c r="R55" s="28" t="b">
        <f t="shared" si="0"/>
        <v>0</v>
      </c>
      <c r="S55" s="28" t="b">
        <f t="shared" si="1"/>
        <v>0</v>
      </c>
    </row>
    <row r="56" spans="1:19" x14ac:dyDescent="0.2">
      <c r="A56" s="19"/>
      <c r="B56" s="19"/>
      <c r="C56" s="19"/>
      <c r="D56" s="19"/>
      <c r="E56" s="19"/>
      <c r="F56" s="19"/>
      <c r="G56" s="19"/>
      <c r="H56" s="19"/>
      <c r="I56" s="19"/>
      <c r="J56" s="19"/>
      <c r="K56" s="19"/>
      <c r="L56" s="19"/>
      <c r="M56" s="19"/>
      <c r="N56" s="19"/>
      <c r="O56" s="19"/>
      <c r="P56" s="32"/>
      <c r="Q56" s="33"/>
      <c r="R56" s="28" t="b">
        <f t="shared" si="0"/>
        <v>0</v>
      </c>
      <c r="S56" s="28" t="b">
        <f t="shared" si="1"/>
        <v>0</v>
      </c>
    </row>
    <row r="57" spans="1:19" x14ac:dyDescent="0.2">
      <c r="A57" s="19"/>
      <c r="B57" s="19"/>
      <c r="C57" s="19"/>
      <c r="D57" s="19"/>
      <c r="E57" s="19"/>
      <c r="F57" s="19"/>
      <c r="G57" s="19"/>
      <c r="H57" s="19"/>
      <c r="I57" s="19"/>
      <c r="J57" s="19"/>
      <c r="K57" s="19"/>
      <c r="L57" s="19"/>
      <c r="M57" s="19"/>
      <c r="N57" s="19"/>
      <c r="O57" s="19"/>
      <c r="P57" s="32"/>
      <c r="Q57" s="33"/>
      <c r="R57" s="28" t="b">
        <f t="shared" si="0"/>
        <v>0</v>
      </c>
      <c r="S57" s="28" t="b">
        <f t="shared" si="1"/>
        <v>0</v>
      </c>
    </row>
    <row r="58" spans="1:19" x14ac:dyDescent="0.2">
      <c r="A58" s="19"/>
      <c r="B58" s="19"/>
      <c r="C58" s="19"/>
      <c r="D58" s="19"/>
      <c r="E58" s="19"/>
      <c r="F58" s="19"/>
      <c r="G58" s="19"/>
      <c r="H58" s="19"/>
      <c r="I58" s="19"/>
      <c r="J58" s="19"/>
      <c r="K58" s="19"/>
      <c r="L58" s="19"/>
      <c r="M58" s="19"/>
      <c r="N58" s="19"/>
      <c r="O58" s="19"/>
      <c r="P58" s="32"/>
      <c r="Q58" s="33"/>
      <c r="R58" s="28" t="b">
        <f t="shared" si="0"/>
        <v>0</v>
      </c>
      <c r="S58" s="28" t="b">
        <f t="shared" si="1"/>
        <v>0</v>
      </c>
    </row>
    <row r="59" spans="1:19" x14ac:dyDescent="0.2">
      <c r="A59" s="19"/>
      <c r="B59" s="19"/>
      <c r="C59" s="19"/>
      <c r="D59" s="19"/>
      <c r="E59" s="19"/>
      <c r="F59" s="19"/>
      <c r="G59" s="19"/>
      <c r="H59" s="19"/>
      <c r="I59" s="19"/>
      <c r="J59" s="19"/>
      <c r="K59" s="19"/>
      <c r="L59" s="19"/>
      <c r="M59" s="19"/>
      <c r="N59" s="19"/>
      <c r="O59" s="19"/>
      <c r="P59" s="32"/>
      <c r="Q59" s="33"/>
      <c r="R59" s="28" t="b">
        <f t="shared" si="0"/>
        <v>0</v>
      </c>
      <c r="S59" s="28" t="b">
        <f t="shared" si="1"/>
        <v>0</v>
      </c>
    </row>
    <row r="60" spans="1:19" x14ac:dyDescent="0.2">
      <c r="A60" s="19"/>
      <c r="B60" s="19"/>
      <c r="C60" s="19"/>
      <c r="D60" s="19"/>
      <c r="E60" s="19"/>
      <c r="F60" s="19"/>
      <c r="G60" s="19"/>
      <c r="H60" s="19"/>
      <c r="I60" s="19"/>
      <c r="J60" s="19"/>
      <c r="K60" s="19"/>
      <c r="L60" s="19"/>
      <c r="M60" s="19"/>
      <c r="N60" s="19"/>
      <c r="O60" s="19"/>
      <c r="P60" s="32"/>
      <c r="Q60" s="33"/>
      <c r="R60" s="28" t="b">
        <f t="shared" si="0"/>
        <v>0</v>
      </c>
      <c r="S60" s="28" t="b">
        <f t="shared" si="1"/>
        <v>0</v>
      </c>
    </row>
    <row r="61" spans="1:19" x14ac:dyDescent="0.2">
      <c r="A61" s="19"/>
      <c r="B61" s="19"/>
      <c r="C61" s="19"/>
      <c r="D61" s="19"/>
      <c r="E61" s="19"/>
      <c r="F61" s="19"/>
      <c r="G61" s="19"/>
      <c r="H61" s="19"/>
      <c r="I61" s="19"/>
      <c r="J61" s="19"/>
      <c r="K61" s="19"/>
      <c r="L61" s="19"/>
      <c r="M61" s="19"/>
      <c r="N61" s="19"/>
      <c r="O61" s="19"/>
      <c r="P61" s="32"/>
      <c r="Q61" s="33"/>
      <c r="R61" s="28" t="b">
        <f t="shared" si="0"/>
        <v>0</v>
      </c>
      <c r="S61" s="28" t="b">
        <f t="shared" si="1"/>
        <v>0</v>
      </c>
    </row>
    <row r="62" spans="1:19" x14ac:dyDescent="0.2">
      <c r="A62" s="19"/>
      <c r="B62" s="19"/>
      <c r="C62" s="19"/>
      <c r="D62" s="19"/>
      <c r="E62" s="19"/>
      <c r="F62" s="19"/>
      <c r="G62" s="19"/>
      <c r="H62" s="19"/>
      <c r="I62" s="19"/>
      <c r="J62" s="19"/>
      <c r="K62" s="19"/>
      <c r="L62" s="19"/>
      <c r="M62" s="19"/>
      <c r="N62" s="19"/>
      <c r="O62" s="19"/>
      <c r="P62" s="32"/>
      <c r="Q62" s="33"/>
      <c r="R62" s="28" t="b">
        <f t="shared" si="0"/>
        <v>0</v>
      </c>
      <c r="S62" s="28" t="b">
        <f t="shared" si="1"/>
        <v>0</v>
      </c>
    </row>
    <row r="63" spans="1:19" x14ac:dyDescent="0.2">
      <c r="A63" s="19"/>
      <c r="B63" s="19"/>
      <c r="C63" s="19"/>
      <c r="D63" s="19"/>
      <c r="E63" s="19"/>
      <c r="F63" s="19"/>
      <c r="G63" s="19"/>
      <c r="H63" s="19"/>
      <c r="I63" s="19"/>
      <c r="J63" s="19"/>
      <c r="K63" s="19"/>
      <c r="L63" s="19"/>
      <c r="M63" s="19"/>
      <c r="N63" s="19"/>
      <c r="O63" s="19"/>
      <c r="P63" s="32"/>
      <c r="Q63" s="33"/>
      <c r="R63" s="28" t="b">
        <f t="shared" si="0"/>
        <v>0</v>
      </c>
      <c r="S63" s="28" t="b">
        <f t="shared" si="1"/>
        <v>0</v>
      </c>
    </row>
    <row r="64" spans="1:19" x14ac:dyDescent="0.2">
      <c r="A64" s="19"/>
      <c r="B64" s="19"/>
      <c r="C64" s="19"/>
      <c r="D64" s="19"/>
      <c r="E64" s="19"/>
      <c r="F64" s="19"/>
      <c r="G64" s="19"/>
      <c r="H64" s="19"/>
      <c r="I64" s="19"/>
      <c r="J64" s="19"/>
      <c r="K64" s="19"/>
      <c r="L64" s="19"/>
      <c r="M64" s="19"/>
      <c r="N64" s="19"/>
      <c r="O64" s="19"/>
      <c r="P64" s="32"/>
      <c r="Q64" s="33"/>
      <c r="R64" s="28" t="b">
        <f t="shared" si="0"/>
        <v>0</v>
      </c>
      <c r="S64" s="28" t="b">
        <f t="shared" si="1"/>
        <v>0</v>
      </c>
    </row>
    <row r="65" spans="1:19" x14ac:dyDescent="0.2">
      <c r="A65" s="19"/>
      <c r="B65" s="19"/>
      <c r="C65" s="19"/>
      <c r="D65" s="19"/>
      <c r="E65" s="39"/>
      <c r="F65" s="39"/>
      <c r="G65" s="39"/>
      <c r="H65" s="39"/>
      <c r="I65" s="39"/>
      <c r="J65" s="39"/>
      <c r="K65" s="39"/>
      <c r="L65" s="40"/>
      <c r="M65" s="19"/>
      <c r="N65" s="19"/>
      <c r="O65" s="19"/>
      <c r="P65" s="32"/>
      <c r="Q65" s="33"/>
      <c r="R65" s="28" t="b">
        <f t="shared" si="0"/>
        <v>0</v>
      </c>
      <c r="S65" s="28" t="b">
        <f t="shared" si="1"/>
        <v>0</v>
      </c>
    </row>
    <row r="66" spans="1:19" x14ac:dyDescent="0.2">
      <c r="A66" s="19"/>
      <c r="B66" s="19"/>
      <c r="C66" s="19"/>
      <c r="D66" s="19"/>
      <c r="E66" s="39"/>
      <c r="F66" s="39"/>
      <c r="G66" s="39"/>
      <c r="H66" s="39"/>
      <c r="I66" s="39"/>
      <c r="J66" s="39"/>
      <c r="K66" s="39"/>
      <c r="L66" s="40"/>
      <c r="M66" s="19"/>
      <c r="N66" s="19"/>
      <c r="O66" s="19"/>
      <c r="P66" s="32"/>
      <c r="Q66" s="33"/>
      <c r="R66" s="28" t="b">
        <f t="shared" si="0"/>
        <v>0</v>
      </c>
      <c r="S66" s="28" t="b">
        <f t="shared" si="1"/>
        <v>0</v>
      </c>
    </row>
    <row r="67" spans="1:19" x14ac:dyDescent="0.2">
      <c r="A67" s="19"/>
      <c r="B67" s="19"/>
      <c r="C67" s="19"/>
      <c r="D67" s="19"/>
      <c r="E67" s="39"/>
      <c r="F67" s="39"/>
      <c r="G67" s="39"/>
      <c r="H67" s="39"/>
      <c r="I67" s="39"/>
      <c r="J67" s="39"/>
      <c r="K67" s="39"/>
      <c r="L67" s="40"/>
      <c r="M67" s="19"/>
      <c r="N67" s="19"/>
      <c r="O67" s="19"/>
      <c r="P67" s="32"/>
      <c r="Q67" s="33"/>
      <c r="R67" s="28" t="b">
        <f t="shared" si="0"/>
        <v>0</v>
      </c>
      <c r="S67" s="28" t="b">
        <f t="shared" si="1"/>
        <v>0</v>
      </c>
    </row>
    <row r="68" spans="1:19" x14ac:dyDescent="0.2">
      <c r="A68" s="19"/>
      <c r="B68" s="19"/>
      <c r="C68" s="19"/>
      <c r="D68" s="19"/>
      <c r="E68" s="39"/>
      <c r="F68" s="39"/>
      <c r="G68" s="39"/>
      <c r="H68" s="39"/>
      <c r="I68" s="39"/>
      <c r="J68" s="39"/>
      <c r="K68" s="39"/>
      <c r="L68" s="40"/>
      <c r="M68" s="19"/>
      <c r="N68" s="19"/>
      <c r="O68" s="19"/>
      <c r="P68" s="32"/>
      <c r="Q68" s="33"/>
      <c r="R68" s="28" t="b">
        <f t="shared" ref="R68:R131" si="2">IF($P68&gt;0,$B$17+$B$18*$P68)</f>
        <v>0</v>
      </c>
      <c r="S68" s="28" t="b">
        <f t="shared" ref="S68:S131" si="3">IF($P68&gt;0,$Q68-$R68)</f>
        <v>0</v>
      </c>
    </row>
    <row r="69" spans="1:19" x14ac:dyDescent="0.2">
      <c r="A69" s="19"/>
      <c r="B69" s="19"/>
      <c r="C69" s="19"/>
      <c r="D69" s="19"/>
      <c r="E69" s="39"/>
      <c r="F69" s="39"/>
      <c r="G69" s="39"/>
      <c r="H69" s="39"/>
      <c r="I69" s="39"/>
      <c r="J69" s="39"/>
      <c r="K69" s="39"/>
      <c r="L69" s="40"/>
      <c r="M69" s="19"/>
      <c r="N69" s="19"/>
      <c r="O69" s="19"/>
      <c r="P69" s="32"/>
      <c r="Q69" s="33"/>
      <c r="R69" s="28" t="b">
        <f t="shared" si="2"/>
        <v>0</v>
      </c>
      <c r="S69" s="28" t="b">
        <f t="shared" si="3"/>
        <v>0</v>
      </c>
    </row>
    <row r="70" spans="1:19" x14ac:dyDescent="0.2">
      <c r="A70" s="19"/>
      <c r="B70" s="19"/>
      <c r="C70" s="19"/>
      <c r="D70" s="19"/>
      <c r="E70" s="39"/>
      <c r="F70" s="39"/>
      <c r="G70" s="39"/>
      <c r="H70" s="39"/>
      <c r="I70" s="39"/>
      <c r="J70" s="39"/>
      <c r="K70" s="39"/>
      <c r="L70" s="40"/>
      <c r="M70" s="19"/>
      <c r="N70" s="19"/>
      <c r="O70" s="19"/>
      <c r="P70" s="32"/>
      <c r="Q70" s="33"/>
      <c r="R70" s="28" t="b">
        <f t="shared" si="2"/>
        <v>0</v>
      </c>
      <c r="S70" s="28" t="b">
        <f t="shared" si="3"/>
        <v>0</v>
      </c>
    </row>
    <row r="71" spans="1:19" x14ac:dyDescent="0.2">
      <c r="A71" s="19"/>
      <c r="B71" s="19"/>
      <c r="C71" s="19"/>
      <c r="D71" s="19"/>
      <c r="E71" s="39"/>
      <c r="F71" s="39"/>
      <c r="G71" s="39"/>
      <c r="H71" s="39"/>
      <c r="I71" s="39"/>
      <c r="J71" s="39"/>
      <c r="K71" s="39"/>
      <c r="L71" s="40"/>
      <c r="M71" s="19"/>
      <c r="N71" s="19"/>
      <c r="O71" s="19"/>
      <c r="P71" s="32"/>
      <c r="Q71" s="33"/>
      <c r="R71" s="28" t="b">
        <f t="shared" si="2"/>
        <v>0</v>
      </c>
      <c r="S71" s="28" t="b">
        <f t="shared" si="3"/>
        <v>0</v>
      </c>
    </row>
    <row r="72" spans="1:19" x14ac:dyDescent="0.2">
      <c r="A72" s="19"/>
      <c r="B72" s="19"/>
      <c r="C72" s="19"/>
      <c r="D72" s="19"/>
      <c r="E72" s="39"/>
      <c r="F72" s="39"/>
      <c r="G72" s="39"/>
      <c r="H72" s="39"/>
      <c r="I72" s="39"/>
      <c r="J72" s="39"/>
      <c r="K72" s="39"/>
      <c r="L72" s="40"/>
      <c r="M72" s="19"/>
      <c r="N72" s="19"/>
      <c r="O72" s="19"/>
      <c r="P72" s="32"/>
      <c r="Q72" s="33"/>
      <c r="R72" s="28" t="b">
        <f t="shared" si="2"/>
        <v>0</v>
      </c>
      <c r="S72" s="28" t="b">
        <f t="shared" si="3"/>
        <v>0</v>
      </c>
    </row>
    <row r="73" spans="1:19" x14ac:dyDescent="0.2">
      <c r="A73" s="19"/>
      <c r="B73" s="19"/>
      <c r="C73" s="19"/>
      <c r="D73" s="19"/>
      <c r="E73" s="39"/>
      <c r="F73" s="39"/>
      <c r="G73" s="39"/>
      <c r="H73" s="39"/>
      <c r="I73" s="39"/>
      <c r="J73" s="39"/>
      <c r="K73" s="39"/>
      <c r="L73" s="40"/>
      <c r="M73" s="19"/>
      <c r="N73" s="19"/>
      <c r="O73" s="19"/>
      <c r="P73" s="32"/>
      <c r="Q73" s="33"/>
      <c r="R73" s="28" t="b">
        <f t="shared" si="2"/>
        <v>0</v>
      </c>
      <c r="S73" s="28" t="b">
        <f t="shared" si="3"/>
        <v>0</v>
      </c>
    </row>
    <row r="74" spans="1:19" x14ac:dyDescent="0.2">
      <c r="A74" s="19"/>
      <c r="B74" s="19"/>
      <c r="C74" s="19"/>
      <c r="D74" s="19"/>
      <c r="E74" s="39"/>
      <c r="F74" s="39"/>
      <c r="G74" s="39"/>
      <c r="H74" s="39"/>
      <c r="I74" s="39"/>
      <c r="J74" s="39"/>
      <c r="K74" s="39"/>
      <c r="L74" s="40"/>
      <c r="M74" s="19"/>
      <c r="N74" s="19"/>
      <c r="O74" s="19"/>
      <c r="P74" s="32"/>
      <c r="Q74" s="33"/>
      <c r="R74" s="28" t="b">
        <f t="shared" si="2"/>
        <v>0</v>
      </c>
      <c r="S74" s="28" t="b">
        <f t="shared" si="3"/>
        <v>0</v>
      </c>
    </row>
    <row r="75" spans="1:19" x14ac:dyDescent="0.2">
      <c r="A75" s="19"/>
      <c r="B75" s="19"/>
      <c r="C75" s="19"/>
      <c r="D75" s="19"/>
      <c r="E75" s="39"/>
      <c r="F75" s="39"/>
      <c r="G75" s="39"/>
      <c r="H75" s="39"/>
      <c r="I75" s="39"/>
      <c r="J75" s="39"/>
      <c r="K75" s="39"/>
      <c r="L75" s="40"/>
      <c r="M75" s="19"/>
      <c r="N75" s="19"/>
      <c r="O75" s="19"/>
      <c r="P75" s="32"/>
      <c r="Q75" s="33"/>
      <c r="R75" s="28" t="b">
        <f t="shared" si="2"/>
        <v>0</v>
      </c>
      <c r="S75" s="28" t="b">
        <f t="shared" si="3"/>
        <v>0</v>
      </c>
    </row>
    <row r="76" spans="1:19" x14ac:dyDescent="0.2">
      <c r="A76" s="19"/>
      <c r="B76" s="19"/>
      <c r="C76" s="19"/>
      <c r="D76" s="19"/>
      <c r="E76" s="39"/>
      <c r="F76" s="39"/>
      <c r="G76" s="39"/>
      <c r="H76" s="39"/>
      <c r="I76" s="39"/>
      <c r="J76" s="39"/>
      <c r="K76" s="39"/>
      <c r="L76" s="40"/>
      <c r="M76" s="19"/>
      <c r="N76" s="19"/>
      <c r="O76" s="19"/>
      <c r="P76" s="32"/>
      <c r="Q76" s="33"/>
      <c r="R76" s="28" t="b">
        <f t="shared" si="2"/>
        <v>0</v>
      </c>
      <c r="S76" s="28" t="b">
        <f t="shared" si="3"/>
        <v>0</v>
      </c>
    </row>
    <row r="77" spans="1:19" x14ac:dyDescent="0.2">
      <c r="A77" s="19"/>
      <c r="B77" s="19"/>
      <c r="C77" s="19"/>
      <c r="D77" s="19"/>
      <c r="E77" s="45"/>
      <c r="F77" s="39"/>
      <c r="G77" s="39"/>
      <c r="H77" s="39"/>
      <c r="I77" s="19"/>
      <c r="J77" s="19"/>
      <c r="K77" s="41"/>
      <c r="L77" s="40"/>
      <c r="M77" s="19"/>
      <c r="N77" s="19"/>
      <c r="O77" s="19"/>
      <c r="P77" s="32"/>
      <c r="Q77" s="33"/>
      <c r="R77" s="28" t="b">
        <f t="shared" si="2"/>
        <v>0</v>
      </c>
      <c r="S77" s="28" t="b">
        <f t="shared" si="3"/>
        <v>0</v>
      </c>
    </row>
    <row r="78" spans="1:19" x14ac:dyDescent="0.2">
      <c r="A78" s="19"/>
      <c r="B78" s="19"/>
      <c r="C78" s="19"/>
      <c r="D78" s="19"/>
      <c r="E78" s="45"/>
      <c r="F78" s="39"/>
      <c r="G78" s="39"/>
      <c r="H78" s="39"/>
      <c r="I78" s="42"/>
      <c r="J78" s="43"/>
      <c r="K78" s="41"/>
      <c r="L78" s="40"/>
      <c r="M78" s="19"/>
      <c r="N78" s="19"/>
      <c r="O78" s="19"/>
      <c r="P78" s="32"/>
      <c r="Q78" s="33"/>
      <c r="R78" s="28" t="b">
        <f t="shared" si="2"/>
        <v>0</v>
      </c>
      <c r="S78" s="28" t="b">
        <f t="shared" si="3"/>
        <v>0</v>
      </c>
    </row>
    <row r="79" spans="1:19" x14ac:dyDescent="0.2">
      <c r="A79" s="19"/>
      <c r="B79" s="19"/>
      <c r="C79" s="19"/>
      <c r="D79" s="19"/>
      <c r="E79" s="45"/>
      <c r="F79" s="39"/>
      <c r="G79" s="39"/>
      <c r="H79" s="39"/>
      <c r="I79" s="42"/>
      <c r="J79" s="43"/>
      <c r="K79" s="41"/>
      <c r="L79" s="40"/>
      <c r="M79" s="19"/>
      <c r="N79" s="19"/>
      <c r="O79" s="19"/>
      <c r="P79" s="32"/>
      <c r="Q79" s="33"/>
      <c r="R79" s="28" t="b">
        <f t="shared" si="2"/>
        <v>0</v>
      </c>
      <c r="S79" s="28" t="b">
        <f t="shared" si="3"/>
        <v>0</v>
      </c>
    </row>
    <row r="80" spans="1:19" x14ac:dyDescent="0.2">
      <c r="A80" s="19"/>
      <c r="B80" s="19"/>
      <c r="C80" s="19"/>
      <c r="D80" s="19"/>
      <c r="E80" s="45"/>
      <c r="F80" s="39"/>
      <c r="G80" s="39"/>
      <c r="H80" s="39"/>
      <c r="I80" s="42"/>
      <c r="J80" s="43"/>
      <c r="K80" s="41"/>
      <c r="L80" s="40"/>
      <c r="M80" s="19"/>
      <c r="N80" s="19"/>
      <c r="O80" s="19"/>
      <c r="P80" s="32"/>
      <c r="Q80" s="33"/>
      <c r="R80" s="28" t="b">
        <f t="shared" si="2"/>
        <v>0</v>
      </c>
      <c r="S80" s="28" t="b">
        <f t="shared" si="3"/>
        <v>0</v>
      </c>
    </row>
    <row r="81" spans="1:19" x14ac:dyDescent="0.2">
      <c r="A81" s="19"/>
      <c r="B81" s="19"/>
      <c r="C81" s="19"/>
      <c r="D81" s="19"/>
      <c r="E81" s="46"/>
      <c r="F81" s="39"/>
      <c r="G81" s="39"/>
      <c r="H81" s="39"/>
      <c r="I81" s="43"/>
      <c r="J81" s="43"/>
      <c r="K81" s="26"/>
      <c r="L81" s="26"/>
      <c r="M81" s="19"/>
      <c r="N81" s="19"/>
      <c r="O81" s="19"/>
      <c r="P81" s="32"/>
      <c r="Q81" s="33"/>
      <c r="R81" s="28" t="b">
        <f t="shared" si="2"/>
        <v>0</v>
      </c>
      <c r="S81" s="28" t="b">
        <f t="shared" si="3"/>
        <v>0</v>
      </c>
    </row>
    <row r="82" spans="1:19" x14ac:dyDescent="0.2">
      <c r="A82" s="19"/>
      <c r="B82" s="19"/>
      <c r="C82" s="19"/>
      <c r="D82" s="19"/>
      <c r="E82" s="26"/>
      <c r="F82" s="39"/>
      <c r="G82" s="39"/>
      <c r="H82" s="39"/>
      <c r="I82" s="26"/>
      <c r="J82" s="26"/>
      <c r="K82" s="26"/>
      <c r="L82" s="26"/>
      <c r="M82" s="19"/>
      <c r="N82" s="19"/>
      <c r="O82" s="19"/>
      <c r="P82" s="32"/>
      <c r="Q82" s="33"/>
      <c r="R82" s="28" t="b">
        <f t="shared" si="2"/>
        <v>0</v>
      </c>
      <c r="S82" s="28" t="b">
        <f t="shared" si="3"/>
        <v>0</v>
      </c>
    </row>
    <row r="83" spans="1:19" x14ac:dyDescent="0.2">
      <c r="A83" s="19"/>
      <c r="B83" s="19"/>
      <c r="C83" s="19"/>
      <c r="D83" s="19"/>
      <c r="E83" s="26"/>
      <c r="F83" s="39"/>
      <c r="G83" s="39"/>
      <c r="H83" s="39"/>
      <c r="I83" s="26"/>
      <c r="J83" s="26"/>
      <c r="K83" s="26"/>
      <c r="L83" s="26"/>
      <c r="M83" s="19"/>
      <c r="N83" s="19"/>
      <c r="O83" s="19"/>
      <c r="P83" s="32"/>
      <c r="Q83" s="33"/>
      <c r="R83" s="28" t="b">
        <f t="shared" si="2"/>
        <v>0</v>
      </c>
      <c r="S83" s="28" t="b">
        <f t="shared" si="3"/>
        <v>0</v>
      </c>
    </row>
    <row r="84" spans="1:19" x14ac:dyDescent="0.2">
      <c r="A84" s="19"/>
      <c r="B84" s="19"/>
      <c r="C84" s="19"/>
      <c r="D84" s="19"/>
      <c r="E84" s="19"/>
      <c r="F84" s="39"/>
      <c r="G84" s="39"/>
      <c r="H84" s="39"/>
      <c r="I84" s="19"/>
      <c r="J84" s="19"/>
      <c r="K84" s="19"/>
      <c r="L84" s="19"/>
      <c r="M84" s="19"/>
      <c r="N84" s="19"/>
      <c r="O84" s="19"/>
      <c r="P84" s="32"/>
      <c r="Q84" s="33"/>
      <c r="R84" s="28" t="b">
        <f t="shared" si="2"/>
        <v>0</v>
      </c>
      <c r="S84" s="28" t="b">
        <f t="shared" si="3"/>
        <v>0</v>
      </c>
    </row>
    <row r="85" spans="1:19" x14ac:dyDescent="0.2">
      <c r="A85" s="19"/>
      <c r="B85" s="19"/>
      <c r="C85" s="19"/>
      <c r="D85" s="19"/>
      <c r="E85" s="19"/>
      <c r="F85" s="39"/>
      <c r="G85" s="39"/>
      <c r="H85" s="39"/>
      <c r="I85" s="19"/>
      <c r="J85" s="19"/>
      <c r="K85" s="19"/>
      <c r="L85" s="19"/>
      <c r="M85" s="19"/>
      <c r="N85" s="19"/>
      <c r="O85" s="19"/>
      <c r="P85" s="32"/>
      <c r="Q85" s="33"/>
      <c r="R85" s="28" t="b">
        <f t="shared" si="2"/>
        <v>0</v>
      </c>
      <c r="S85" s="28" t="b">
        <f t="shared" si="3"/>
        <v>0</v>
      </c>
    </row>
    <row r="86" spans="1:19" x14ac:dyDescent="0.2">
      <c r="A86" s="19"/>
      <c r="B86" s="19"/>
      <c r="C86" s="19"/>
      <c r="D86" s="19"/>
      <c r="E86" s="19"/>
      <c r="F86" s="39"/>
      <c r="G86" s="39"/>
      <c r="H86" s="39"/>
      <c r="I86" s="19"/>
      <c r="J86" s="19"/>
      <c r="K86" s="19"/>
      <c r="L86" s="19"/>
      <c r="M86" s="19"/>
      <c r="N86" s="19"/>
      <c r="O86" s="19"/>
      <c r="P86" s="32"/>
      <c r="Q86" s="33"/>
      <c r="R86" s="28" t="b">
        <f t="shared" si="2"/>
        <v>0</v>
      </c>
      <c r="S86" s="28" t="b">
        <f t="shared" si="3"/>
        <v>0</v>
      </c>
    </row>
    <row r="87" spans="1:19" x14ac:dyDescent="0.2">
      <c r="A87" s="19"/>
      <c r="B87" s="19"/>
      <c r="C87" s="19"/>
      <c r="D87" s="19"/>
      <c r="E87" s="19"/>
      <c r="F87" s="39"/>
      <c r="G87" s="39"/>
      <c r="H87" s="39"/>
      <c r="I87" s="19"/>
      <c r="J87" s="19"/>
      <c r="K87" s="19"/>
      <c r="L87" s="19"/>
      <c r="M87" s="19"/>
      <c r="N87" s="19"/>
      <c r="O87" s="19"/>
      <c r="P87" s="32"/>
      <c r="Q87" s="33"/>
      <c r="R87" s="28" t="b">
        <f t="shared" si="2"/>
        <v>0</v>
      </c>
      <c r="S87" s="28" t="b">
        <f t="shared" si="3"/>
        <v>0</v>
      </c>
    </row>
    <row r="88" spans="1:19" x14ac:dyDescent="0.2">
      <c r="A88" s="19"/>
      <c r="B88" s="19"/>
      <c r="C88" s="19"/>
      <c r="D88" s="19"/>
      <c r="E88" s="19"/>
      <c r="F88" s="39"/>
      <c r="G88" s="39"/>
      <c r="H88" s="39"/>
      <c r="I88" s="19"/>
      <c r="J88" s="19"/>
      <c r="K88" s="19"/>
      <c r="L88" s="19"/>
      <c r="M88" s="19"/>
      <c r="N88" s="19"/>
      <c r="O88" s="19"/>
      <c r="P88" s="32"/>
      <c r="Q88" s="33"/>
      <c r="R88" s="28" t="b">
        <f t="shared" si="2"/>
        <v>0</v>
      </c>
      <c r="S88" s="28" t="b">
        <f t="shared" si="3"/>
        <v>0</v>
      </c>
    </row>
    <row r="89" spans="1:19" x14ac:dyDescent="0.2">
      <c r="A89" s="19"/>
      <c r="B89" s="19"/>
      <c r="C89" s="19"/>
      <c r="D89" s="19"/>
      <c r="E89" s="19"/>
      <c r="F89" s="39"/>
      <c r="G89" s="39"/>
      <c r="H89" s="39"/>
      <c r="I89" s="19"/>
      <c r="J89" s="19"/>
      <c r="K89" s="19"/>
      <c r="L89" s="19"/>
      <c r="M89" s="19"/>
      <c r="N89" s="19"/>
      <c r="O89" s="19"/>
      <c r="P89" s="32"/>
      <c r="Q89" s="33"/>
      <c r="R89" s="28" t="b">
        <f t="shared" si="2"/>
        <v>0</v>
      </c>
      <c r="S89" s="28" t="b">
        <f t="shared" si="3"/>
        <v>0</v>
      </c>
    </row>
    <row r="90" spans="1:19" x14ac:dyDescent="0.2">
      <c r="A90" s="19"/>
      <c r="B90" s="19"/>
      <c r="C90" s="19"/>
      <c r="D90" s="19"/>
      <c r="E90" s="19"/>
      <c r="F90" s="39"/>
      <c r="G90" s="39"/>
      <c r="H90" s="39"/>
      <c r="I90" s="19"/>
      <c r="J90" s="19"/>
      <c r="K90" s="19"/>
      <c r="L90" s="19"/>
      <c r="M90" s="19"/>
      <c r="N90" s="19"/>
      <c r="O90" s="19"/>
      <c r="P90" s="32"/>
      <c r="Q90" s="33"/>
      <c r="R90" s="28" t="b">
        <f t="shared" si="2"/>
        <v>0</v>
      </c>
      <c r="S90" s="28" t="b">
        <f t="shared" si="3"/>
        <v>0</v>
      </c>
    </row>
    <row r="91" spans="1:19" x14ac:dyDescent="0.2">
      <c r="A91" s="19"/>
      <c r="B91" s="19"/>
      <c r="C91" s="19"/>
      <c r="D91" s="19"/>
      <c r="E91" s="19"/>
      <c r="F91" s="39"/>
      <c r="G91" s="39"/>
      <c r="H91" s="39"/>
      <c r="I91" s="19"/>
      <c r="J91" s="19"/>
      <c r="K91" s="19"/>
      <c r="L91" s="19"/>
      <c r="M91" s="19"/>
      <c r="N91" s="19"/>
      <c r="O91" s="19"/>
      <c r="P91" s="32"/>
      <c r="Q91" s="33"/>
      <c r="R91" s="28" t="b">
        <f t="shared" si="2"/>
        <v>0</v>
      </c>
      <c r="S91" s="28" t="b">
        <f t="shared" si="3"/>
        <v>0</v>
      </c>
    </row>
    <row r="92" spans="1:19" x14ac:dyDescent="0.2">
      <c r="A92" s="19"/>
      <c r="B92" s="19"/>
      <c r="C92" s="19"/>
      <c r="D92" s="19"/>
      <c r="E92" s="19"/>
      <c r="F92" s="39"/>
      <c r="G92" s="39"/>
      <c r="H92" s="39"/>
      <c r="I92" s="19"/>
      <c r="J92" s="19"/>
      <c r="K92" s="19"/>
      <c r="L92" s="19"/>
      <c r="M92" s="19"/>
      <c r="N92" s="19"/>
      <c r="O92" s="19"/>
      <c r="P92" s="32"/>
      <c r="Q92" s="33"/>
      <c r="R92" s="28" t="b">
        <f t="shared" si="2"/>
        <v>0</v>
      </c>
      <c r="S92" s="28" t="b">
        <f t="shared" si="3"/>
        <v>0</v>
      </c>
    </row>
    <row r="93" spans="1:19" x14ac:dyDescent="0.2">
      <c r="A93" s="19"/>
      <c r="B93" s="19"/>
      <c r="C93" s="19"/>
      <c r="D93" s="19"/>
      <c r="E93" s="19"/>
      <c r="F93" s="39"/>
      <c r="G93" s="39"/>
      <c r="H93" s="39"/>
      <c r="I93" s="19"/>
      <c r="J93" s="19"/>
      <c r="K93" s="19"/>
      <c r="L93" s="19"/>
      <c r="M93" s="19"/>
      <c r="N93" s="19"/>
      <c r="O93" s="19"/>
      <c r="P93" s="32"/>
      <c r="Q93" s="33"/>
      <c r="R93" s="28" t="b">
        <f t="shared" si="2"/>
        <v>0</v>
      </c>
      <c r="S93" s="28" t="b">
        <f t="shared" si="3"/>
        <v>0</v>
      </c>
    </row>
    <row r="94" spans="1:19" x14ac:dyDescent="0.2">
      <c r="A94" s="19"/>
      <c r="B94" s="19"/>
      <c r="C94" s="19"/>
      <c r="D94" s="19"/>
      <c r="E94" s="19"/>
      <c r="F94" s="39"/>
      <c r="G94" s="39"/>
      <c r="H94" s="39"/>
      <c r="I94" s="44"/>
      <c r="J94" s="44"/>
      <c r="K94" s="19"/>
      <c r="L94" s="19"/>
      <c r="M94" s="19"/>
      <c r="N94" s="19"/>
      <c r="O94" s="19"/>
      <c r="P94" s="32"/>
      <c r="Q94" s="33"/>
      <c r="R94" s="28" t="b">
        <f t="shared" si="2"/>
        <v>0</v>
      </c>
      <c r="S94" s="28" t="b">
        <f t="shared" si="3"/>
        <v>0</v>
      </c>
    </row>
    <row r="95" spans="1:19" x14ac:dyDescent="0.2">
      <c r="A95" s="19"/>
      <c r="B95" s="19"/>
      <c r="C95" s="19"/>
      <c r="D95" s="19"/>
      <c r="E95" s="19"/>
      <c r="F95" s="39"/>
      <c r="G95" s="39"/>
      <c r="H95" s="39"/>
      <c r="I95" s="19"/>
      <c r="J95" s="19"/>
      <c r="K95" s="19"/>
      <c r="L95" s="19"/>
      <c r="M95" s="19"/>
      <c r="N95" s="19"/>
      <c r="O95" s="19"/>
      <c r="P95" s="32"/>
      <c r="Q95" s="33"/>
      <c r="R95" s="28" t="b">
        <f t="shared" si="2"/>
        <v>0</v>
      </c>
      <c r="S95" s="28" t="b">
        <f t="shared" si="3"/>
        <v>0</v>
      </c>
    </row>
    <row r="96" spans="1:19" x14ac:dyDescent="0.2">
      <c r="A96" s="19"/>
      <c r="B96" s="19"/>
      <c r="C96" s="19"/>
      <c r="D96" s="19"/>
      <c r="E96" s="19"/>
      <c r="F96" s="39"/>
      <c r="G96" s="39"/>
      <c r="H96" s="39"/>
      <c r="I96" s="19"/>
      <c r="J96" s="19"/>
      <c r="K96" s="19"/>
      <c r="L96" s="19"/>
      <c r="M96" s="19"/>
      <c r="N96" s="19"/>
      <c r="O96" s="19"/>
      <c r="P96" s="32"/>
      <c r="Q96" s="33"/>
      <c r="R96" s="28" t="b">
        <f t="shared" si="2"/>
        <v>0</v>
      </c>
      <c r="S96" s="28" t="b">
        <f t="shared" si="3"/>
        <v>0</v>
      </c>
    </row>
    <row r="97" spans="1:19" x14ac:dyDescent="0.2">
      <c r="A97" s="19"/>
      <c r="B97" s="19"/>
      <c r="C97" s="19"/>
      <c r="D97" s="19"/>
      <c r="E97" s="19"/>
      <c r="F97" s="39"/>
      <c r="G97" s="39"/>
      <c r="H97" s="39"/>
      <c r="I97" s="19"/>
      <c r="J97" s="19"/>
      <c r="K97" s="19"/>
      <c r="L97" s="19"/>
      <c r="M97" s="19"/>
      <c r="N97" s="19"/>
      <c r="O97" s="19"/>
      <c r="P97" s="32"/>
      <c r="Q97" s="33"/>
      <c r="R97" s="28" t="b">
        <f t="shared" si="2"/>
        <v>0</v>
      </c>
      <c r="S97" s="28" t="b">
        <f t="shared" si="3"/>
        <v>0</v>
      </c>
    </row>
    <row r="98" spans="1:19" x14ac:dyDescent="0.2">
      <c r="A98" s="19"/>
      <c r="B98" s="19"/>
      <c r="C98" s="19"/>
      <c r="D98" s="19"/>
      <c r="E98" s="19"/>
      <c r="F98" s="39"/>
      <c r="G98" s="39"/>
      <c r="H98" s="39"/>
      <c r="I98" s="19"/>
      <c r="J98" s="19"/>
      <c r="K98" s="19"/>
      <c r="L98" s="19"/>
      <c r="M98" s="19"/>
      <c r="N98" s="19"/>
      <c r="O98" s="19"/>
      <c r="P98" s="32"/>
      <c r="Q98" s="33"/>
      <c r="R98" s="28" t="b">
        <f t="shared" si="2"/>
        <v>0</v>
      </c>
      <c r="S98" s="28" t="b">
        <f t="shared" si="3"/>
        <v>0</v>
      </c>
    </row>
    <row r="99" spans="1:19" x14ac:dyDescent="0.2">
      <c r="A99" s="19"/>
      <c r="B99" s="19"/>
      <c r="C99" s="19"/>
      <c r="D99" s="19"/>
      <c r="E99" s="19"/>
      <c r="F99" s="39"/>
      <c r="G99" s="39"/>
      <c r="H99" s="39"/>
      <c r="I99" s="19"/>
      <c r="J99" s="19"/>
      <c r="K99" s="19"/>
      <c r="L99" s="19"/>
      <c r="M99" s="19"/>
      <c r="N99" s="19"/>
      <c r="O99" s="19"/>
      <c r="P99" s="32"/>
      <c r="Q99" s="33"/>
      <c r="R99" s="28" t="b">
        <f t="shared" si="2"/>
        <v>0</v>
      </c>
      <c r="S99" s="28" t="b">
        <f t="shared" si="3"/>
        <v>0</v>
      </c>
    </row>
    <row r="100" spans="1:19" x14ac:dyDescent="0.2">
      <c r="B100" s="5" t="s">
        <v>55</v>
      </c>
      <c r="H100" s="15"/>
      <c r="I100" s="19"/>
      <c r="J100" s="19"/>
      <c r="K100" s="19"/>
      <c r="L100" s="19"/>
      <c r="M100" s="19"/>
      <c r="N100" s="19"/>
      <c r="O100" s="19"/>
      <c r="P100" s="32"/>
      <c r="Q100" s="33"/>
      <c r="R100" s="28" t="b">
        <f t="shared" si="2"/>
        <v>0</v>
      </c>
      <c r="S100" s="28" t="b">
        <f t="shared" si="3"/>
        <v>0</v>
      </c>
    </row>
    <row r="101" spans="1:19" x14ac:dyDescent="0.2">
      <c r="A101" s="122"/>
      <c r="B101" s="88"/>
      <c r="C101" s="66" t="s">
        <v>56</v>
      </c>
      <c r="D101" s="66" t="s">
        <v>28</v>
      </c>
      <c r="E101" s="66" t="s">
        <v>64</v>
      </c>
      <c r="F101" s="66" t="s">
        <v>62</v>
      </c>
      <c r="G101" s="66" t="s">
        <v>66</v>
      </c>
      <c r="H101" s="15"/>
      <c r="I101" s="19"/>
      <c r="J101" s="19"/>
      <c r="K101" s="19"/>
      <c r="L101" s="19"/>
      <c r="M101" s="19"/>
      <c r="N101" s="19"/>
      <c r="O101" s="19"/>
      <c r="P101" s="32"/>
      <c r="Q101" s="33"/>
      <c r="R101" s="28" t="b">
        <f t="shared" si="2"/>
        <v>0</v>
      </c>
      <c r="S101" s="28" t="b">
        <f t="shared" si="3"/>
        <v>0</v>
      </c>
    </row>
    <row r="102" spans="1:19" x14ac:dyDescent="0.2">
      <c r="A102" s="67">
        <v>1</v>
      </c>
      <c r="B102" s="67">
        <f>A102+$B$32</f>
        <v>1</v>
      </c>
      <c r="C102" s="81" t="e">
        <f>MAX($B$17+$A$102*$B$18+$B$28+0.5*$B$6,$B$6)</f>
        <v>#DIV/0!</v>
      </c>
      <c r="D102" s="81" t="e">
        <f>$B$17+$A$102*$B$18+$B$27</f>
        <v>#DIV/0!</v>
      </c>
      <c r="E102" s="81" t="e">
        <f>MAX($B$17+$B$18*($B$35-$B$32)+$B$28+0.5*$B$6,$B$6)</f>
        <v>#DIV/0!</v>
      </c>
      <c r="F102" s="123">
        <f>MAX($P$3:$P$252)</f>
        <v>0</v>
      </c>
      <c r="G102" s="124" t="e">
        <f>MAX($B$17+$F$102*$B$18+$B$28+0.5*$B$6,$B$6)</f>
        <v>#DIV/0!</v>
      </c>
      <c r="H102" s="15"/>
      <c r="I102" s="19"/>
      <c r="J102" s="19"/>
      <c r="K102" s="19"/>
      <c r="L102" s="19"/>
      <c r="M102" s="19"/>
      <c r="N102" s="19"/>
      <c r="O102" s="19"/>
      <c r="P102" s="32"/>
      <c r="Q102" s="33"/>
      <c r="R102" s="28" t="b">
        <f t="shared" si="2"/>
        <v>0</v>
      </c>
      <c r="S102" s="28" t="b">
        <f t="shared" si="3"/>
        <v>0</v>
      </c>
    </row>
    <row r="103" spans="1:19" x14ac:dyDescent="0.2">
      <c r="A103" s="125" t="e">
        <f>(0.5*$B$6-$B$28-$B$17)/$B$18</f>
        <v>#DIV/0!</v>
      </c>
      <c r="B103" s="125" t="e">
        <f>$A103+$B$32</f>
        <v>#DIV/0!</v>
      </c>
      <c r="C103" s="81">
        <f>$B$6</f>
        <v>0</v>
      </c>
      <c r="D103" s="81" t="e">
        <f>$B$17+$A$103*$B$18+$B$27</f>
        <v>#DIV/0!</v>
      </c>
      <c r="E103" s="81" t="e">
        <f>MAX($B$17+$B$18*($C$35-$B$32)+$B$28+0.5*$B$6,$B$6)</f>
        <v>#DIV/0!</v>
      </c>
      <c r="F103" s="125">
        <f>$A$104</f>
        <v>44196</v>
      </c>
      <c r="G103" s="124" t="e">
        <f>$G$102</f>
        <v>#DIV/0!</v>
      </c>
      <c r="H103" s="15"/>
      <c r="I103" s="19"/>
      <c r="J103" s="19"/>
      <c r="K103" s="19"/>
      <c r="L103" s="19"/>
      <c r="M103" s="19"/>
      <c r="N103" s="19"/>
      <c r="O103" s="19"/>
      <c r="P103" s="32"/>
      <c r="Q103" s="33"/>
      <c r="R103" s="28" t="b">
        <f t="shared" si="2"/>
        <v>0</v>
      </c>
      <c r="S103" s="28" t="b">
        <f t="shared" si="3"/>
        <v>0</v>
      </c>
    </row>
    <row r="104" spans="1:19" x14ac:dyDescent="0.2">
      <c r="A104" s="67">
        <v>44196</v>
      </c>
      <c r="B104" s="67">
        <f>$A104+$B$32</f>
        <v>44196</v>
      </c>
      <c r="C104" s="124" t="e">
        <f>MAX($B$17+$A$104*$B$18+$B$28+0.5*$B$6,$B$6)</f>
        <v>#DIV/0!</v>
      </c>
      <c r="D104" s="124" t="e">
        <f>$B$17+$A$104*$B$18+$B$27</f>
        <v>#DIV/0!</v>
      </c>
      <c r="E104" s="88"/>
      <c r="F104" s="88"/>
      <c r="G104" s="126"/>
      <c r="H104" s="15"/>
      <c r="I104" s="19"/>
      <c r="J104" s="19"/>
      <c r="K104" s="19"/>
      <c r="L104" s="19"/>
      <c r="M104" s="19"/>
      <c r="N104" s="19"/>
      <c r="O104" s="19"/>
      <c r="P104" s="32"/>
      <c r="Q104" s="33"/>
      <c r="R104" s="28" t="b">
        <f t="shared" si="2"/>
        <v>0</v>
      </c>
      <c r="S104" s="28" t="b">
        <f t="shared" si="3"/>
        <v>0</v>
      </c>
    </row>
    <row r="105" spans="1:19" x14ac:dyDescent="0.2">
      <c r="A105" s="125">
        <f>$B$35</f>
        <v>0</v>
      </c>
      <c r="B105" s="125">
        <f>$C$35</f>
        <v>0</v>
      </c>
      <c r="C105" s="127">
        <v>0</v>
      </c>
      <c r="D105" s="128"/>
      <c r="E105" s="66" t="s">
        <v>65</v>
      </c>
      <c r="F105" s="88"/>
      <c r="G105" s="126"/>
      <c r="H105" s="15"/>
      <c r="I105" s="19"/>
      <c r="J105" s="19"/>
      <c r="K105" s="19"/>
      <c r="L105" s="19"/>
      <c r="M105" s="19"/>
      <c r="N105" s="19"/>
      <c r="O105" s="19"/>
      <c r="P105" s="32"/>
      <c r="Q105" s="33"/>
      <c r="R105" s="28" t="b">
        <f t="shared" si="2"/>
        <v>0</v>
      </c>
      <c r="S105" s="28" t="b">
        <f t="shared" si="3"/>
        <v>0</v>
      </c>
    </row>
    <row r="106" spans="1:19" x14ac:dyDescent="0.2">
      <c r="A106" s="125">
        <f>$B$35</f>
        <v>0</v>
      </c>
      <c r="B106" s="125">
        <f>$C$35</f>
        <v>0</v>
      </c>
      <c r="C106" s="127">
        <v>100000</v>
      </c>
      <c r="D106" s="128"/>
      <c r="E106" s="124" t="e">
        <f>$B$41</f>
        <v>#DIV/0!</v>
      </c>
      <c r="F106" s="128"/>
      <c r="G106" s="126"/>
      <c r="H106" s="15"/>
      <c r="I106" s="19"/>
      <c r="J106" s="19"/>
      <c r="K106" s="19"/>
      <c r="L106" s="19"/>
      <c r="M106" s="19"/>
      <c r="N106" s="19"/>
      <c r="O106" s="19"/>
      <c r="P106" s="32"/>
      <c r="Q106" s="33"/>
      <c r="R106" s="28" t="b">
        <f t="shared" si="2"/>
        <v>0</v>
      </c>
      <c r="S106" s="28" t="b">
        <f t="shared" si="3"/>
        <v>0</v>
      </c>
    </row>
    <row r="107" spans="1:19" x14ac:dyDescent="0.2">
      <c r="A107" s="128"/>
      <c r="B107" s="88"/>
      <c r="C107" s="88"/>
      <c r="D107" s="128"/>
      <c r="E107" s="124" t="e">
        <f>$B$41</f>
        <v>#DIV/0!</v>
      </c>
      <c r="F107" s="128"/>
      <c r="G107" s="126"/>
      <c r="H107" s="15"/>
      <c r="I107" s="19"/>
      <c r="J107" s="19"/>
      <c r="K107" s="19"/>
      <c r="L107" s="19"/>
      <c r="M107" s="19"/>
      <c r="N107" s="19"/>
      <c r="O107" s="19"/>
      <c r="P107" s="32"/>
      <c r="Q107" s="33"/>
      <c r="R107" s="28" t="b">
        <f t="shared" si="2"/>
        <v>0</v>
      </c>
      <c r="S107" s="28" t="b">
        <f t="shared" si="3"/>
        <v>0</v>
      </c>
    </row>
    <row r="108" spans="1:19" x14ac:dyDescent="0.2">
      <c r="A108" s="88"/>
      <c r="B108" s="88"/>
      <c r="C108" s="88"/>
      <c r="D108" s="88"/>
      <c r="E108" s="88"/>
      <c r="F108" s="128"/>
      <c r="G108" s="126"/>
      <c r="H108" s="15"/>
      <c r="I108" s="19"/>
      <c r="J108" s="19"/>
      <c r="K108" s="19"/>
      <c r="L108" s="19"/>
      <c r="M108" s="19"/>
      <c r="N108" s="19"/>
      <c r="O108" s="19"/>
      <c r="P108" s="32"/>
      <c r="Q108" s="33"/>
      <c r="R108" s="28" t="b">
        <f t="shared" si="2"/>
        <v>0</v>
      </c>
      <c r="S108" s="28" t="b">
        <f t="shared" si="3"/>
        <v>0</v>
      </c>
    </row>
    <row r="109" spans="1:19" x14ac:dyDescent="0.2">
      <c r="A109" s="88"/>
      <c r="B109" s="88"/>
      <c r="C109" s="88"/>
      <c r="D109" s="88"/>
      <c r="E109" s="88"/>
      <c r="F109" s="128"/>
      <c r="G109" s="126"/>
      <c r="H109" s="15"/>
      <c r="I109" s="19"/>
      <c r="J109" s="19"/>
      <c r="K109" s="19"/>
      <c r="L109" s="19"/>
      <c r="M109" s="19"/>
      <c r="N109" s="19"/>
      <c r="O109" s="19"/>
      <c r="P109" s="32"/>
      <c r="Q109" s="33"/>
      <c r="R109" s="28" t="b">
        <f t="shared" si="2"/>
        <v>0</v>
      </c>
      <c r="S109" s="28" t="b">
        <f t="shared" si="3"/>
        <v>0</v>
      </c>
    </row>
    <row r="110" spans="1:19" x14ac:dyDescent="0.2">
      <c r="A110" s="88"/>
      <c r="B110" s="88"/>
      <c r="C110" s="88"/>
      <c r="D110" s="88"/>
      <c r="E110" s="88"/>
      <c r="F110" s="128"/>
      <c r="G110" s="126"/>
      <c r="H110" s="15"/>
      <c r="I110" s="19"/>
      <c r="J110" s="19"/>
      <c r="K110" s="19"/>
      <c r="L110" s="19"/>
      <c r="M110" s="19"/>
      <c r="N110" s="19"/>
      <c r="O110" s="19"/>
      <c r="P110" s="32"/>
      <c r="Q110" s="33"/>
      <c r="R110" s="28" t="b">
        <f t="shared" si="2"/>
        <v>0</v>
      </c>
      <c r="S110" s="28" t="b">
        <f t="shared" si="3"/>
        <v>0</v>
      </c>
    </row>
    <row r="111" spans="1:19" x14ac:dyDescent="0.2">
      <c r="A111" s="88"/>
      <c r="B111" s="88"/>
      <c r="C111" s="66" t="s">
        <v>50</v>
      </c>
      <c r="D111" s="76" t="b">
        <f>IF($B$9&gt;3,INDEX(XX!$C$4:'XX'!$C$150,$B$9))</f>
        <v>0</v>
      </c>
      <c r="E111" s="76" t="b">
        <f>IF($B$9&gt;3,INDEX(XX!$D$4:'XX'!$D$150,$B$9))</f>
        <v>0</v>
      </c>
      <c r="F111" s="128"/>
      <c r="G111" s="126"/>
      <c r="H111" s="15"/>
      <c r="I111" s="19"/>
      <c r="J111" s="19"/>
      <c r="K111" s="19"/>
      <c r="L111" s="19"/>
      <c r="M111" s="19"/>
      <c r="N111" s="19"/>
      <c r="O111" s="19"/>
      <c r="P111" s="32"/>
      <c r="Q111" s="33"/>
      <c r="R111" s="28" t="b">
        <f t="shared" si="2"/>
        <v>0</v>
      </c>
      <c r="S111" s="28" t="b">
        <f t="shared" si="3"/>
        <v>0</v>
      </c>
    </row>
    <row r="112" spans="1:19" x14ac:dyDescent="0.2">
      <c r="A112" s="88"/>
      <c r="B112" s="88"/>
      <c r="C112" s="66" t="s">
        <v>51</v>
      </c>
      <c r="D112" s="129" t="s">
        <v>52</v>
      </c>
      <c r="E112" s="129" t="s">
        <v>53</v>
      </c>
      <c r="F112" s="128"/>
      <c r="G112" s="126"/>
      <c r="H112" s="15"/>
      <c r="I112" s="19"/>
      <c r="J112" s="19"/>
      <c r="K112" s="19"/>
      <c r="L112" s="19"/>
      <c r="M112" s="19"/>
      <c r="N112" s="19"/>
      <c r="O112" s="19"/>
      <c r="P112" s="32"/>
      <c r="Q112" s="33"/>
      <c r="R112" s="28" t="b">
        <f t="shared" si="2"/>
        <v>0</v>
      </c>
      <c r="S112" s="28" t="b">
        <f t="shared" si="3"/>
        <v>0</v>
      </c>
    </row>
    <row r="113" spans="1:19" x14ac:dyDescent="0.2">
      <c r="A113" s="66" t="s">
        <v>40</v>
      </c>
      <c r="B113" s="89" t="e">
        <f>MIN($A$50:$A$199)</f>
        <v>#DIV/0!</v>
      </c>
      <c r="C113" s="88"/>
      <c r="D113" s="76" t="e">
        <f>IF((ABS($B$16)&gt;$I$58)*AND(ABS($B$16)&lt;$J$58),#REF!+#REF!*B113,0)</f>
        <v>#DIV/0!</v>
      </c>
      <c r="E113" s="76" t="e">
        <f>IF((ABS($B$16)&gt;$J$58),$B$17+$B$18*$B113,0)</f>
        <v>#DIV/0!</v>
      </c>
      <c r="F113" s="128"/>
      <c r="G113" s="126"/>
      <c r="H113" s="15"/>
      <c r="I113" s="19"/>
      <c r="J113" s="19"/>
      <c r="K113" s="19"/>
      <c r="L113" s="19"/>
      <c r="M113" s="19"/>
      <c r="N113" s="19"/>
      <c r="O113" s="19"/>
      <c r="P113" s="32"/>
      <c r="Q113" s="33"/>
      <c r="R113" s="28" t="b">
        <f t="shared" si="2"/>
        <v>0</v>
      </c>
      <c r="S113" s="28" t="b">
        <f t="shared" si="3"/>
        <v>0</v>
      </c>
    </row>
    <row r="114" spans="1:19" x14ac:dyDescent="0.2">
      <c r="A114" s="66" t="s">
        <v>41</v>
      </c>
      <c r="B114" s="89">
        <f>MAX($P$3:$P$252)</f>
        <v>0</v>
      </c>
      <c r="C114" s="88"/>
      <c r="D114" s="76" t="e">
        <f>IF((ABS($B$16)&gt;$I$58)*AND(ABS($B$16)&lt;$J$58),#REF!+#REF!*B114,0)</f>
        <v>#DIV/0!</v>
      </c>
      <c r="E114" s="76" t="e">
        <f>IF((ABS($B$16)&gt;$E$111),$B$17+$B$18*$B114,0)</f>
        <v>#DIV/0!</v>
      </c>
      <c r="F114" s="128"/>
      <c r="G114" s="126"/>
      <c r="H114" s="15"/>
      <c r="I114" s="19"/>
      <c r="J114" s="19"/>
      <c r="K114" s="19"/>
      <c r="L114" s="19"/>
      <c r="M114" s="19"/>
      <c r="N114" s="19"/>
      <c r="O114" s="19"/>
      <c r="P114" s="32"/>
      <c r="Q114" s="33"/>
      <c r="R114" s="28" t="b">
        <f t="shared" si="2"/>
        <v>0</v>
      </c>
      <c r="S114" s="28" t="b">
        <f t="shared" si="3"/>
        <v>0</v>
      </c>
    </row>
    <row r="115" spans="1:19" x14ac:dyDescent="0.2">
      <c r="F115" s="15"/>
      <c r="G115" s="15"/>
      <c r="H115" s="15"/>
      <c r="I115" s="19"/>
      <c r="J115" s="19"/>
      <c r="K115" s="19"/>
      <c r="L115" s="19"/>
      <c r="M115" s="19"/>
      <c r="N115" s="19"/>
      <c r="O115" s="19"/>
      <c r="P115" s="32"/>
      <c r="Q115" s="33"/>
      <c r="R115" s="28" t="b">
        <f t="shared" si="2"/>
        <v>0</v>
      </c>
      <c r="S115" s="28" t="b">
        <f t="shared" si="3"/>
        <v>0</v>
      </c>
    </row>
    <row r="116" spans="1:19" x14ac:dyDescent="0.2">
      <c r="F116" s="15"/>
      <c r="G116" s="15"/>
      <c r="H116" s="15"/>
      <c r="I116" s="19"/>
      <c r="J116" s="19"/>
      <c r="K116" s="19"/>
      <c r="L116" s="19"/>
      <c r="M116" s="19"/>
      <c r="N116" s="19"/>
      <c r="O116" s="19"/>
      <c r="P116" s="32"/>
      <c r="Q116" s="33"/>
      <c r="R116" s="28" t="b">
        <f t="shared" si="2"/>
        <v>0</v>
      </c>
      <c r="S116" s="28" t="b">
        <f t="shared" si="3"/>
        <v>0</v>
      </c>
    </row>
    <row r="117" spans="1:19" x14ac:dyDescent="0.2">
      <c r="F117" s="15"/>
      <c r="G117" s="15"/>
      <c r="H117" s="15"/>
      <c r="I117" s="19"/>
      <c r="J117" s="19"/>
      <c r="K117" s="19"/>
      <c r="L117" s="19"/>
      <c r="M117" s="19"/>
      <c r="N117" s="19"/>
      <c r="O117" s="19"/>
      <c r="P117" s="32"/>
      <c r="Q117" s="33"/>
      <c r="R117" s="28" t="b">
        <f t="shared" si="2"/>
        <v>0</v>
      </c>
      <c r="S117" s="28" t="b">
        <f t="shared" si="3"/>
        <v>0</v>
      </c>
    </row>
    <row r="118" spans="1:19" x14ac:dyDescent="0.2">
      <c r="F118" s="15"/>
      <c r="G118" s="15"/>
      <c r="H118" s="15"/>
      <c r="I118" s="19"/>
      <c r="J118" s="19"/>
      <c r="K118" s="19"/>
      <c r="L118" s="19"/>
      <c r="M118" s="19"/>
      <c r="N118" s="19"/>
      <c r="O118" s="19"/>
      <c r="P118" s="32"/>
      <c r="Q118" s="33"/>
      <c r="R118" s="28" t="b">
        <f t="shared" si="2"/>
        <v>0</v>
      </c>
      <c r="S118" s="28" t="b">
        <f t="shared" si="3"/>
        <v>0</v>
      </c>
    </row>
    <row r="119" spans="1:19" x14ac:dyDescent="0.2">
      <c r="F119" s="15"/>
      <c r="G119" s="15"/>
      <c r="H119" s="15"/>
      <c r="I119" s="19"/>
      <c r="J119" s="19"/>
      <c r="K119" s="19"/>
      <c r="L119" s="19"/>
      <c r="M119" s="19"/>
      <c r="N119" s="19"/>
      <c r="O119" s="19"/>
      <c r="P119" s="32"/>
      <c r="Q119" s="33"/>
      <c r="R119" s="28" t="b">
        <f t="shared" si="2"/>
        <v>0</v>
      </c>
      <c r="S119" s="28" t="b">
        <f t="shared" si="3"/>
        <v>0</v>
      </c>
    </row>
    <row r="120" spans="1:19" x14ac:dyDescent="0.2">
      <c r="F120" s="15"/>
      <c r="G120" s="15"/>
      <c r="H120" s="15"/>
      <c r="I120" s="19"/>
      <c r="J120" s="19"/>
      <c r="K120" s="19"/>
      <c r="L120" s="19"/>
      <c r="M120" s="19"/>
      <c r="N120" s="19"/>
      <c r="O120" s="19"/>
      <c r="P120" s="32"/>
      <c r="Q120" s="33"/>
      <c r="R120" s="28" t="b">
        <f t="shared" si="2"/>
        <v>0</v>
      </c>
      <c r="S120" s="28" t="b">
        <f t="shared" si="3"/>
        <v>0</v>
      </c>
    </row>
    <row r="121" spans="1:19" x14ac:dyDescent="0.2">
      <c r="I121" s="19"/>
      <c r="J121" s="19"/>
      <c r="K121" s="19"/>
      <c r="L121" s="19"/>
      <c r="M121" s="19"/>
      <c r="N121" s="19"/>
      <c r="O121" s="19"/>
      <c r="P121" s="32"/>
      <c r="Q121" s="33"/>
      <c r="R121" s="28" t="b">
        <f t="shared" si="2"/>
        <v>0</v>
      </c>
      <c r="S121" s="28" t="b">
        <f t="shared" si="3"/>
        <v>0</v>
      </c>
    </row>
    <row r="122" spans="1:19" x14ac:dyDescent="0.2">
      <c r="I122" s="19"/>
      <c r="J122" s="19"/>
      <c r="K122" s="19"/>
      <c r="L122" s="19"/>
      <c r="M122" s="19"/>
      <c r="N122" s="19"/>
      <c r="O122" s="19"/>
      <c r="P122" s="32"/>
      <c r="Q122" s="33"/>
      <c r="R122" s="28" t="b">
        <f t="shared" si="2"/>
        <v>0</v>
      </c>
      <c r="S122" s="28" t="b">
        <f t="shared" si="3"/>
        <v>0</v>
      </c>
    </row>
    <row r="123" spans="1:19" x14ac:dyDescent="0.2">
      <c r="I123" s="19"/>
      <c r="J123" s="19"/>
      <c r="K123" s="19"/>
      <c r="L123" s="19"/>
      <c r="M123" s="19"/>
      <c r="N123" s="19"/>
      <c r="O123" s="19"/>
      <c r="P123" s="32"/>
      <c r="Q123" s="33"/>
      <c r="R123" s="28" t="b">
        <f t="shared" si="2"/>
        <v>0</v>
      </c>
      <c r="S123" s="28" t="b">
        <f t="shared" si="3"/>
        <v>0</v>
      </c>
    </row>
    <row r="124" spans="1:19" x14ac:dyDescent="0.2">
      <c r="I124" s="19"/>
      <c r="J124" s="19"/>
      <c r="K124" s="19"/>
      <c r="L124" s="19"/>
      <c r="M124" s="19"/>
      <c r="N124" s="19"/>
      <c r="O124" s="19"/>
      <c r="P124" s="32"/>
      <c r="Q124" s="33"/>
      <c r="R124" s="28" t="b">
        <f t="shared" si="2"/>
        <v>0</v>
      </c>
      <c r="S124" s="28" t="b">
        <f t="shared" si="3"/>
        <v>0</v>
      </c>
    </row>
    <row r="125" spans="1:19" x14ac:dyDescent="0.2">
      <c r="I125" s="19"/>
      <c r="J125" s="19"/>
      <c r="K125" s="19"/>
      <c r="L125" s="19"/>
      <c r="M125" s="19"/>
      <c r="N125" s="19"/>
      <c r="O125" s="19"/>
      <c r="P125" s="32"/>
      <c r="Q125" s="33"/>
      <c r="R125" s="28" t="b">
        <f t="shared" si="2"/>
        <v>0</v>
      </c>
      <c r="S125" s="28" t="b">
        <f t="shared" si="3"/>
        <v>0</v>
      </c>
    </row>
    <row r="126" spans="1:19" x14ac:dyDescent="0.2">
      <c r="I126" s="19"/>
      <c r="J126" s="19"/>
      <c r="K126" s="19"/>
      <c r="L126" s="19"/>
      <c r="M126" s="19"/>
      <c r="N126" s="19"/>
      <c r="O126" s="19"/>
      <c r="P126" s="32"/>
      <c r="Q126" s="33"/>
      <c r="R126" s="28" t="b">
        <f t="shared" si="2"/>
        <v>0</v>
      </c>
      <c r="S126" s="28" t="b">
        <f t="shared" si="3"/>
        <v>0</v>
      </c>
    </row>
    <row r="127" spans="1:19" x14ac:dyDescent="0.2">
      <c r="I127" s="19"/>
      <c r="J127" s="19"/>
      <c r="K127" s="19"/>
      <c r="L127" s="19"/>
      <c r="M127" s="19"/>
      <c r="N127" s="19"/>
      <c r="O127" s="19"/>
      <c r="P127" s="32"/>
      <c r="Q127" s="33"/>
      <c r="R127" s="28" t="b">
        <f t="shared" si="2"/>
        <v>0</v>
      </c>
      <c r="S127" s="28" t="b">
        <f t="shared" si="3"/>
        <v>0</v>
      </c>
    </row>
    <row r="128" spans="1:19" x14ac:dyDescent="0.2">
      <c r="I128" s="19"/>
      <c r="J128" s="19"/>
      <c r="K128" s="19"/>
      <c r="L128" s="19"/>
      <c r="M128" s="19"/>
      <c r="N128" s="19"/>
      <c r="O128" s="19"/>
      <c r="P128" s="32"/>
      <c r="Q128" s="33"/>
      <c r="R128" s="28" t="b">
        <f t="shared" si="2"/>
        <v>0</v>
      </c>
      <c r="S128" s="28" t="b">
        <f t="shared" si="3"/>
        <v>0</v>
      </c>
    </row>
    <row r="129" spans="9:19" x14ac:dyDescent="0.2">
      <c r="I129" s="19"/>
      <c r="J129" s="19"/>
      <c r="K129" s="19"/>
      <c r="L129" s="19"/>
      <c r="M129" s="19"/>
      <c r="N129" s="19"/>
      <c r="O129" s="19"/>
      <c r="P129" s="32"/>
      <c r="Q129" s="33"/>
      <c r="R129" s="28" t="b">
        <f t="shared" si="2"/>
        <v>0</v>
      </c>
      <c r="S129" s="28" t="b">
        <f t="shared" si="3"/>
        <v>0</v>
      </c>
    </row>
    <row r="130" spans="9:19" x14ac:dyDescent="0.2">
      <c r="I130" s="19"/>
      <c r="J130" s="19"/>
      <c r="K130" s="19"/>
      <c r="L130" s="19"/>
      <c r="M130" s="19"/>
      <c r="N130" s="19"/>
      <c r="O130" s="19"/>
      <c r="P130" s="32"/>
      <c r="Q130" s="33"/>
      <c r="R130" s="28" t="b">
        <f t="shared" si="2"/>
        <v>0</v>
      </c>
      <c r="S130" s="28" t="b">
        <f t="shared" si="3"/>
        <v>0</v>
      </c>
    </row>
    <row r="131" spans="9:19" x14ac:dyDescent="0.2">
      <c r="I131" s="19"/>
      <c r="J131" s="19"/>
      <c r="K131" s="19"/>
      <c r="L131" s="19"/>
      <c r="M131" s="19"/>
      <c r="N131" s="19"/>
      <c r="O131" s="19"/>
      <c r="P131" s="32"/>
      <c r="Q131" s="33"/>
      <c r="R131" s="28" t="b">
        <f t="shared" si="2"/>
        <v>0</v>
      </c>
      <c r="S131" s="28" t="b">
        <f t="shared" si="3"/>
        <v>0</v>
      </c>
    </row>
    <row r="132" spans="9:19" x14ac:dyDescent="0.2">
      <c r="I132" s="19"/>
      <c r="J132" s="19"/>
      <c r="K132" s="19"/>
      <c r="L132" s="19"/>
      <c r="M132" s="19"/>
      <c r="N132" s="19"/>
      <c r="O132" s="19"/>
      <c r="P132" s="32"/>
      <c r="Q132" s="33"/>
      <c r="R132" s="28" t="b">
        <f t="shared" ref="R132:R195" si="4">IF($P132&gt;0,$B$17+$B$18*$P132)</f>
        <v>0</v>
      </c>
      <c r="S132" s="28" t="b">
        <f t="shared" ref="S132:S195" si="5">IF($P132&gt;0,$Q132-$R132)</f>
        <v>0</v>
      </c>
    </row>
    <row r="133" spans="9:19" x14ac:dyDescent="0.2">
      <c r="I133" s="19"/>
      <c r="J133" s="19"/>
      <c r="K133" s="19"/>
      <c r="L133" s="19"/>
      <c r="M133" s="19"/>
      <c r="N133" s="19"/>
      <c r="O133" s="19"/>
      <c r="P133" s="32"/>
      <c r="Q133" s="33"/>
      <c r="R133" s="28" t="b">
        <f t="shared" si="4"/>
        <v>0</v>
      </c>
      <c r="S133" s="28" t="b">
        <f t="shared" si="5"/>
        <v>0</v>
      </c>
    </row>
    <row r="134" spans="9:19" x14ac:dyDescent="0.2">
      <c r="I134" s="19"/>
      <c r="J134" s="19"/>
      <c r="K134" s="19"/>
      <c r="L134" s="19"/>
      <c r="M134" s="19"/>
      <c r="N134" s="19"/>
      <c r="O134" s="19"/>
      <c r="P134" s="32"/>
      <c r="Q134" s="33"/>
      <c r="R134" s="28" t="b">
        <f t="shared" si="4"/>
        <v>0</v>
      </c>
      <c r="S134" s="28" t="b">
        <f t="shared" si="5"/>
        <v>0</v>
      </c>
    </row>
    <row r="135" spans="9:19" x14ac:dyDescent="0.2">
      <c r="I135" s="19"/>
      <c r="J135" s="19"/>
      <c r="K135" s="19"/>
      <c r="L135" s="19"/>
      <c r="M135" s="19"/>
      <c r="N135" s="19"/>
      <c r="O135" s="19"/>
      <c r="P135" s="32"/>
      <c r="Q135" s="33"/>
      <c r="R135" s="28" t="b">
        <f t="shared" si="4"/>
        <v>0</v>
      </c>
      <c r="S135" s="28" t="b">
        <f t="shared" si="5"/>
        <v>0</v>
      </c>
    </row>
    <row r="136" spans="9:19" x14ac:dyDescent="0.2">
      <c r="I136" s="19"/>
      <c r="J136" s="19"/>
      <c r="K136" s="19"/>
      <c r="L136" s="19"/>
      <c r="M136" s="19"/>
      <c r="N136" s="19"/>
      <c r="O136" s="19"/>
      <c r="P136" s="32"/>
      <c r="Q136" s="33"/>
      <c r="R136" s="28" t="b">
        <f t="shared" si="4"/>
        <v>0</v>
      </c>
      <c r="S136" s="28" t="b">
        <f t="shared" si="5"/>
        <v>0</v>
      </c>
    </row>
    <row r="137" spans="9:19" x14ac:dyDescent="0.2">
      <c r="I137" s="19"/>
      <c r="J137" s="19"/>
      <c r="K137" s="19"/>
      <c r="L137" s="19"/>
      <c r="M137" s="19"/>
      <c r="N137" s="19"/>
      <c r="O137" s="19"/>
      <c r="P137" s="32"/>
      <c r="Q137" s="33"/>
      <c r="R137" s="28" t="b">
        <f t="shared" si="4"/>
        <v>0</v>
      </c>
      <c r="S137" s="28" t="b">
        <f t="shared" si="5"/>
        <v>0</v>
      </c>
    </row>
    <row r="138" spans="9:19" x14ac:dyDescent="0.2">
      <c r="I138" s="19"/>
      <c r="J138" s="19"/>
      <c r="K138" s="19"/>
      <c r="L138" s="19"/>
      <c r="M138" s="19"/>
      <c r="N138" s="19"/>
      <c r="O138" s="19"/>
      <c r="P138" s="32"/>
      <c r="Q138" s="33"/>
      <c r="R138" s="28" t="b">
        <f t="shared" si="4"/>
        <v>0</v>
      </c>
      <c r="S138" s="28" t="b">
        <f t="shared" si="5"/>
        <v>0</v>
      </c>
    </row>
    <row r="139" spans="9:19" x14ac:dyDescent="0.2">
      <c r="I139" s="19"/>
      <c r="J139" s="19"/>
      <c r="K139" s="19"/>
      <c r="L139" s="19"/>
      <c r="M139" s="19"/>
      <c r="N139" s="19"/>
      <c r="O139" s="19"/>
      <c r="P139" s="32"/>
      <c r="Q139" s="33"/>
      <c r="R139" s="28" t="b">
        <f t="shared" si="4"/>
        <v>0</v>
      </c>
      <c r="S139" s="28" t="b">
        <f t="shared" si="5"/>
        <v>0</v>
      </c>
    </row>
    <row r="140" spans="9:19" x14ac:dyDescent="0.2">
      <c r="I140" s="19"/>
      <c r="J140" s="19"/>
      <c r="K140" s="19"/>
      <c r="L140" s="19"/>
      <c r="M140" s="19"/>
      <c r="N140" s="19"/>
      <c r="O140" s="19"/>
      <c r="P140" s="32"/>
      <c r="Q140" s="33"/>
      <c r="R140" s="28" t="b">
        <f t="shared" si="4"/>
        <v>0</v>
      </c>
      <c r="S140" s="28" t="b">
        <f t="shared" si="5"/>
        <v>0</v>
      </c>
    </row>
    <row r="141" spans="9:19" x14ac:dyDescent="0.2">
      <c r="I141" s="19"/>
      <c r="J141" s="19"/>
      <c r="K141" s="19"/>
      <c r="L141" s="19"/>
      <c r="M141" s="19"/>
      <c r="N141" s="19"/>
      <c r="O141" s="19"/>
      <c r="P141" s="32"/>
      <c r="Q141" s="33"/>
      <c r="R141" s="28" t="b">
        <f t="shared" si="4"/>
        <v>0</v>
      </c>
      <c r="S141" s="28" t="b">
        <f t="shared" si="5"/>
        <v>0</v>
      </c>
    </row>
    <row r="142" spans="9:19" x14ac:dyDescent="0.2">
      <c r="I142" s="19"/>
      <c r="J142" s="19"/>
      <c r="K142" s="19"/>
      <c r="L142" s="19"/>
      <c r="M142" s="19"/>
      <c r="N142" s="19"/>
      <c r="O142" s="19"/>
      <c r="P142" s="32"/>
      <c r="Q142" s="33"/>
      <c r="R142" s="28" t="b">
        <f t="shared" si="4"/>
        <v>0</v>
      </c>
      <c r="S142" s="28" t="b">
        <f t="shared" si="5"/>
        <v>0</v>
      </c>
    </row>
    <row r="143" spans="9:19" x14ac:dyDescent="0.2">
      <c r="I143" s="19"/>
      <c r="J143" s="19"/>
      <c r="K143" s="19"/>
      <c r="L143" s="19"/>
      <c r="M143" s="19"/>
      <c r="N143" s="19"/>
      <c r="O143" s="19"/>
      <c r="P143" s="32"/>
      <c r="Q143" s="33"/>
      <c r="R143" s="28" t="b">
        <f t="shared" si="4"/>
        <v>0</v>
      </c>
      <c r="S143" s="28" t="b">
        <f t="shared" si="5"/>
        <v>0</v>
      </c>
    </row>
    <row r="144" spans="9:19" x14ac:dyDescent="0.2">
      <c r="I144" s="19"/>
      <c r="J144" s="19"/>
      <c r="K144" s="19"/>
      <c r="L144" s="19"/>
      <c r="M144" s="19"/>
      <c r="N144" s="19"/>
      <c r="O144" s="19"/>
      <c r="P144" s="32"/>
      <c r="Q144" s="33"/>
      <c r="R144" s="28" t="b">
        <f t="shared" si="4"/>
        <v>0</v>
      </c>
      <c r="S144" s="28" t="b">
        <f t="shared" si="5"/>
        <v>0</v>
      </c>
    </row>
    <row r="145" spans="9:19" x14ac:dyDescent="0.2">
      <c r="I145" s="19"/>
      <c r="J145" s="19"/>
      <c r="K145" s="19"/>
      <c r="L145" s="19"/>
      <c r="M145" s="19"/>
      <c r="N145" s="19"/>
      <c r="O145" s="19"/>
      <c r="P145" s="32"/>
      <c r="Q145" s="33"/>
      <c r="R145" s="28" t="b">
        <f t="shared" si="4"/>
        <v>0</v>
      </c>
      <c r="S145" s="28" t="b">
        <f t="shared" si="5"/>
        <v>0</v>
      </c>
    </row>
    <row r="146" spans="9:19" x14ac:dyDescent="0.2">
      <c r="I146" s="19"/>
      <c r="J146" s="19"/>
      <c r="K146" s="19"/>
      <c r="L146" s="19"/>
      <c r="M146" s="19"/>
      <c r="N146" s="19"/>
      <c r="O146" s="19"/>
      <c r="P146" s="32"/>
      <c r="Q146" s="33"/>
      <c r="R146" s="28" t="b">
        <f t="shared" si="4"/>
        <v>0</v>
      </c>
      <c r="S146" s="28" t="b">
        <f t="shared" si="5"/>
        <v>0</v>
      </c>
    </row>
    <row r="147" spans="9:19" x14ac:dyDescent="0.2">
      <c r="I147" s="19"/>
      <c r="J147" s="19"/>
      <c r="K147" s="19"/>
      <c r="L147" s="19"/>
      <c r="M147" s="19"/>
      <c r="N147" s="19"/>
      <c r="O147" s="19"/>
      <c r="P147" s="32"/>
      <c r="Q147" s="33"/>
      <c r="R147" s="28" t="b">
        <f t="shared" si="4"/>
        <v>0</v>
      </c>
      <c r="S147" s="28" t="b">
        <f t="shared" si="5"/>
        <v>0</v>
      </c>
    </row>
    <row r="148" spans="9:19" x14ac:dyDescent="0.2">
      <c r="I148" s="19"/>
      <c r="J148" s="19"/>
      <c r="K148" s="19"/>
      <c r="L148" s="19"/>
      <c r="M148" s="19"/>
      <c r="N148" s="19"/>
      <c r="O148" s="19"/>
      <c r="P148" s="32"/>
      <c r="Q148" s="33"/>
      <c r="R148" s="28" t="b">
        <f t="shared" si="4"/>
        <v>0</v>
      </c>
      <c r="S148" s="28" t="b">
        <f t="shared" si="5"/>
        <v>0</v>
      </c>
    </row>
    <row r="149" spans="9:19" x14ac:dyDescent="0.2">
      <c r="I149" s="19"/>
      <c r="J149" s="19"/>
      <c r="K149" s="19"/>
      <c r="L149" s="19"/>
      <c r="M149" s="19"/>
      <c r="N149" s="19"/>
      <c r="O149" s="19"/>
      <c r="P149" s="32"/>
      <c r="Q149" s="33"/>
      <c r="R149" s="28" t="b">
        <f t="shared" si="4"/>
        <v>0</v>
      </c>
      <c r="S149" s="28" t="b">
        <f t="shared" si="5"/>
        <v>0</v>
      </c>
    </row>
    <row r="150" spans="9:19" x14ac:dyDescent="0.2">
      <c r="I150" s="19"/>
      <c r="J150" s="19"/>
      <c r="K150" s="19"/>
      <c r="L150" s="19"/>
      <c r="M150" s="19"/>
      <c r="N150" s="19"/>
      <c r="O150" s="19"/>
      <c r="P150" s="32"/>
      <c r="Q150" s="33"/>
      <c r="R150" s="28" t="b">
        <f t="shared" si="4"/>
        <v>0</v>
      </c>
      <c r="S150" s="28" t="b">
        <f t="shared" si="5"/>
        <v>0</v>
      </c>
    </row>
    <row r="151" spans="9:19" x14ac:dyDescent="0.2">
      <c r="I151" s="19"/>
      <c r="J151" s="19"/>
      <c r="K151" s="19"/>
      <c r="L151" s="19"/>
      <c r="M151" s="19"/>
      <c r="N151" s="19"/>
      <c r="O151" s="19"/>
      <c r="P151" s="32"/>
      <c r="Q151" s="33"/>
      <c r="R151" s="28" t="b">
        <f t="shared" si="4"/>
        <v>0</v>
      </c>
      <c r="S151" s="28" t="b">
        <f t="shared" si="5"/>
        <v>0</v>
      </c>
    </row>
    <row r="152" spans="9:19" x14ac:dyDescent="0.2">
      <c r="I152" s="19"/>
      <c r="J152" s="19"/>
      <c r="K152" s="19"/>
      <c r="L152" s="19"/>
      <c r="M152" s="19"/>
      <c r="N152" s="19"/>
      <c r="O152" s="19"/>
      <c r="P152" s="32"/>
      <c r="Q152" s="33"/>
      <c r="R152" s="28" t="b">
        <f t="shared" si="4"/>
        <v>0</v>
      </c>
      <c r="S152" s="28" t="b">
        <f t="shared" si="5"/>
        <v>0</v>
      </c>
    </row>
    <row r="153" spans="9:19" x14ac:dyDescent="0.2">
      <c r="I153" s="19"/>
      <c r="J153" s="19"/>
      <c r="K153" s="19"/>
      <c r="L153" s="19"/>
      <c r="M153" s="19"/>
      <c r="N153" s="19"/>
      <c r="O153" s="19"/>
      <c r="P153" s="32"/>
      <c r="Q153" s="33"/>
      <c r="R153" s="28" t="b">
        <f t="shared" si="4"/>
        <v>0</v>
      </c>
      <c r="S153" s="28" t="b">
        <f t="shared" si="5"/>
        <v>0</v>
      </c>
    </row>
    <row r="154" spans="9:19" x14ac:dyDescent="0.2">
      <c r="I154" s="19"/>
      <c r="J154" s="19"/>
      <c r="K154" s="19"/>
      <c r="L154" s="19"/>
      <c r="M154" s="19"/>
      <c r="N154" s="19"/>
      <c r="O154" s="19"/>
      <c r="P154" s="32"/>
      <c r="Q154" s="33"/>
      <c r="R154" s="28" t="b">
        <f t="shared" si="4"/>
        <v>0</v>
      </c>
      <c r="S154" s="28" t="b">
        <f t="shared" si="5"/>
        <v>0</v>
      </c>
    </row>
    <row r="155" spans="9:19" x14ac:dyDescent="0.2">
      <c r="P155" s="32"/>
      <c r="Q155" s="33"/>
      <c r="R155" s="28" t="b">
        <f t="shared" si="4"/>
        <v>0</v>
      </c>
      <c r="S155" s="28" t="b">
        <f t="shared" si="5"/>
        <v>0</v>
      </c>
    </row>
    <row r="156" spans="9:19" x14ac:dyDescent="0.2">
      <c r="P156" s="32"/>
      <c r="Q156" s="33"/>
      <c r="R156" s="28" t="b">
        <f t="shared" si="4"/>
        <v>0</v>
      </c>
      <c r="S156" s="28" t="b">
        <f t="shared" si="5"/>
        <v>0</v>
      </c>
    </row>
    <row r="157" spans="9:19" x14ac:dyDescent="0.2">
      <c r="P157" s="32"/>
      <c r="Q157" s="33"/>
      <c r="R157" s="28" t="b">
        <f t="shared" si="4"/>
        <v>0</v>
      </c>
      <c r="S157" s="28" t="b">
        <f t="shared" si="5"/>
        <v>0</v>
      </c>
    </row>
    <row r="158" spans="9:19" x14ac:dyDescent="0.2">
      <c r="P158" s="32"/>
      <c r="Q158" s="33"/>
      <c r="R158" s="28" t="b">
        <f t="shared" si="4"/>
        <v>0</v>
      </c>
      <c r="S158" s="28" t="b">
        <f t="shared" si="5"/>
        <v>0</v>
      </c>
    </row>
    <row r="159" spans="9:19" x14ac:dyDescent="0.2">
      <c r="P159" s="32"/>
      <c r="Q159" s="33"/>
      <c r="R159" s="28" t="b">
        <f t="shared" si="4"/>
        <v>0</v>
      </c>
      <c r="S159" s="28" t="b">
        <f t="shared" si="5"/>
        <v>0</v>
      </c>
    </row>
    <row r="160" spans="9:19" x14ac:dyDescent="0.2">
      <c r="P160" s="32"/>
      <c r="Q160" s="33"/>
      <c r="R160" s="28" t="b">
        <f t="shared" si="4"/>
        <v>0</v>
      </c>
      <c r="S160" s="28" t="b">
        <f t="shared" si="5"/>
        <v>0</v>
      </c>
    </row>
    <row r="161" spans="16:19" x14ac:dyDescent="0.2">
      <c r="P161" s="32"/>
      <c r="Q161" s="33"/>
      <c r="R161" s="28" t="b">
        <f t="shared" si="4"/>
        <v>0</v>
      </c>
      <c r="S161" s="28" t="b">
        <f t="shared" si="5"/>
        <v>0</v>
      </c>
    </row>
    <row r="162" spans="16:19" x14ac:dyDescent="0.2">
      <c r="P162" s="32"/>
      <c r="Q162" s="33"/>
      <c r="R162" s="28" t="b">
        <f t="shared" si="4"/>
        <v>0</v>
      </c>
      <c r="S162" s="28" t="b">
        <f t="shared" si="5"/>
        <v>0</v>
      </c>
    </row>
    <row r="163" spans="16:19" x14ac:dyDescent="0.2">
      <c r="P163" s="32"/>
      <c r="Q163" s="33"/>
      <c r="R163" s="28" t="b">
        <f t="shared" si="4"/>
        <v>0</v>
      </c>
      <c r="S163" s="28" t="b">
        <f t="shared" si="5"/>
        <v>0</v>
      </c>
    </row>
    <row r="164" spans="16:19" x14ac:dyDescent="0.2">
      <c r="P164" s="32"/>
      <c r="Q164" s="33"/>
      <c r="R164" s="28" t="b">
        <f t="shared" si="4"/>
        <v>0</v>
      </c>
      <c r="S164" s="28" t="b">
        <f t="shared" si="5"/>
        <v>0</v>
      </c>
    </row>
    <row r="165" spans="16:19" x14ac:dyDescent="0.2">
      <c r="P165" s="32"/>
      <c r="Q165" s="33"/>
      <c r="R165" s="28" t="b">
        <f t="shared" si="4"/>
        <v>0</v>
      </c>
      <c r="S165" s="28" t="b">
        <f t="shared" si="5"/>
        <v>0</v>
      </c>
    </row>
    <row r="166" spans="16:19" x14ac:dyDescent="0.2">
      <c r="P166" s="32"/>
      <c r="Q166" s="33"/>
      <c r="R166" s="28" t="b">
        <f t="shared" si="4"/>
        <v>0</v>
      </c>
      <c r="S166" s="28" t="b">
        <f t="shared" si="5"/>
        <v>0</v>
      </c>
    </row>
    <row r="167" spans="16:19" x14ac:dyDescent="0.2">
      <c r="P167" s="32"/>
      <c r="Q167" s="33"/>
      <c r="R167" s="28" t="b">
        <f t="shared" si="4"/>
        <v>0</v>
      </c>
      <c r="S167" s="28" t="b">
        <f t="shared" si="5"/>
        <v>0</v>
      </c>
    </row>
    <row r="168" spans="16:19" x14ac:dyDescent="0.2">
      <c r="P168" s="32"/>
      <c r="Q168" s="33"/>
      <c r="R168" s="28" t="b">
        <f t="shared" si="4"/>
        <v>0</v>
      </c>
      <c r="S168" s="28" t="b">
        <f t="shared" si="5"/>
        <v>0</v>
      </c>
    </row>
    <row r="169" spans="16:19" x14ac:dyDescent="0.2">
      <c r="P169" s="32"/>
      <c r="Q169" s="33"/>
      <c r="R169" s="28" t="b">
        <f t="shared" si="4"/>
        <v>0</v>
      </c>
      <c r="S169" s="28" t="b">
        <f t="shared" si="5"/>
        <v>0</v>
      </c>
    </row>
    <row r="170" spans="16:19" x14ac:dyDescent="0.2">
      <c r="P170" s="32"/>
      <c r="Q170" s="33"/>
      <c r="R170" s="28" t="b">
        <f t="shared" si="4"/>
        <v>0</v>
      </c>
      <c r="S170" s="28" t="b">
        <f t="shared" si="5"/>
        <v>0</v>
      </c>
    </row>
    <row r="171" spans="16:19" x14ac:dyDescent="0.2">
      <c r="P171" s="32"/>
      <c r="Q171" s="33"/>
      <c r="R171" s="28" t="b">
        <f t="shared" si="4"/>
        <v>0</v>
      </c>
      <c r="S171" s="28" t="b">
        <f t="shared" si="5"/>
        <v>0</v>
      </c>
    </row>
    <row r="172" spans="16:19" x14ac:dyDescent="0.2">
      <c r="P172" s="32"/>
      <c r="Q172" s="33"/>
      <c r="R172" s="28" t="b">
        <f t="shared" si="4"/>
        <v>0</v>
      </c>
      <c r="S172" s="28" t="b">
        <f t="shared" si="5"/>
        <v>0</v>
      </c>
    </row>
    <row r="173" spans="16:19" x14ac:dyDescent="0.2">
      <c r="P173" s="32"/>
      <c r="Q173" s="33"/>
      <c r="R173" s="28" t="b">
        <f t="shared" si="4"/>
        <v>0</v>
      </c>
      <c r="S173" s="28" t="b">
        <f t="shared" si="5"/>
        <v>0</v>
      </c>
    </row>
    <row r="174" spans="16:19" x14ac:dyDescent="0.2">
      <c r="P174" s="32"/>
      <c r="Q174" s="33"/>
      <c r="R174" s="28" t="b">
        <f t="shared" si="4"/>
        <v>0</v>
      </c>
      <c r="S174" s="28" t="b">
        <f t="shared" si="5"/>
        <v>0</v>
      </c>
    </row>
    <row r="175" spans="16:19" x14ac:dyDescent="0.2">
      <c r="P175" s="32"/>
      <c r="Q175" s="33"/>
      <c r="R175" s="28" t="b">
        <f t="shared" si="4"/>
        <v>0</v>
      </c>
      <c r="S175" s="28" t="b">
        <f t="shared" si="5"/>
        <v>0</v>
      </c>
    </row>
    <row r="176" spans="16:19" x14ac:dyDescent="0.2">
      <c r="P176" s="32"/>
      <c r="Q176" s="33"/>
      <c r="R176" s="28" t="b">
        <f t="shared" si="4"/>
        <v>0</v>
      </c>
      <c r="S176" s="28" t="b">
        <f t="shared" si="5"/>
        <v>0</v>
      </c>
    </row>
    <row r="177" spans="16:19" x14ac:dyDescent="0.2">
      <c r="P177" s="32"/>
      <c r="Q177" s="33"/>
      <c r="R177" s="28" t="b">
        <f t="shared" si="4"/>
        <v>0</v>
      </c>
      <c r="S177" s="28" t="b">
        <f t="shared" si="5"/>
        <v>0</v>
      </c>
    </row>
    <row r="178" spans="16:19" x14ac:dyDescent="0.2">
      <c r="P178" s="32"/>
      <c r="Q178" s="33"/>
      <c r="R178" s="28" t="b">
        <f t="shared" si="4"/>
        <v>0</v>
      </c>
      <c r="S178" s="28" t="b">
        <f t="shared" si="5"/>
        <v>0</v>
      </c>
    </row>
    <row r="179" spans="16:19" x14ac:dyDescent="0.2">
      <c r="P179" s="32"/>
      <c r="Q179" s="33"/>
      <c r="R179" s="28" t="b">
        <f t="shared" si="4"/>
        <v>0</v>
      </c>
      <c r="S179" s="28" t="b">
        <f t="shared" si="5"/>
        <v>0</v>
      </c>
    </row>
    <row r="180" spans="16:19" x14ac:dyDescent="0.2">
      <c r="P180" s="32"/>
      <c r="Q180" s="33"/>
      <c r="R180" s="28" t="b">
        <f t="shared" si="4"/>
        <v>0</v>
      </c>
      <c r="S180" s="28" t="b">
        <f t="shared" si="5"/>
        <v>0</v>
      </c>
    </row>
    <row r="181" spans="16:19" x14ac:dyDescent="0.2">
      <c r="P181" s="32"/>
      <c r="Q181" s="33"/>
      <c r="R181" s="28" t="b">
        <f t="shared" si="4"/>
        <v>0</v>
      </c>
      <c r="S181" s="28" t="b">
        <f t="shared" si="5"/>
        <v>0</v>
      </c>
    </row>
    <row r="182" spans="16:19" x14ac:dyDescent="0.2">
      <c r="P182" s="32"/>
      <c r="Q182" s="33"/>
      <c r="R182" s="28" t="b">
        <f t="shared" si="4"/>
        <v>0</v>
      </c>
      <c r="S182" s="28" t="b">
        <f t="shared" si="5"/>
        <v>0</v>
      </c>
    </row>
    <row r="183" spans="16:19" x14ac:dyDescent="0.2">
      <c r="P183" s="32"/>
      <c r="Q183" s="33"/>
      <c r="R183" s="28" t="b">
        <f t="shared" si="4"/>
        <v>0</v>
      </c>
      <c r="S183" s="28" t="b">
        <f t="shared" si="5"/>
        <v>0</v>
      </c>
    </row>
    <row r="184" spans="16:19" x14ac:dyDescent="0.2">
      <c r="P184" s="32"/>
      <c r="Q184" s="33"/>
      <c r="R184" s="28" t="b">
        <f t="shared" si="4"/>
        <v>0</v>
      </c>
      <c r="S184" s="28" t="b">
        <f t="shared" si="5"/>
        <v>0</v>
      </c>
    </row>
    <row r="185" spans="16:19" x14ac:dyDescent="0.2">
      <c r="P185" s="32"/>
      <c r="Q185" s="33"/>
      <c r="R185" s="28" t="b">
        <f t="shared" si="4"/>
        <v>0</v>
      </c>
      <c r="S185" s="28" t="b">
        <f t="shared" si="5"/>
        <v>0</v>
      </c>
    </row>
    <row r="186" spans="16:19" x14ac:dyDescent="0.2">
      <c r="P186" s="32"/>
      <c r="Q186" s="33"/>
      <c r="R186" s="28" t="b">
        <f t="shared" si="4"/>
        <v>0</v>
      </c>
      <c r="S186" s="28" t="b">
        <f t="shared" si="5"/>
        <v>0</v>
      </c>
    </row>
    <row r="187" spans="16:19" x14ac:dyDescent="0.2">
      <c r="P187" s="32"/>
      <c r="Q187" s="33"/>
      <c r="R187" s="28" t="b">
        <f t="shared" si="4"/>
        <v>0</v>
      </c>
      <c r="S187" s="28" t="b">
        <f t="shared" si="5"/>
        <v>0</v>
      </c>
    </row>
    <row r="188" spans="16:19" x14ac:dyDescent="0.2">
      <c r="P188" s="32"/>
      <c r="Q188" s="33"/>
      <c r="R188" s="28" t="b">
        <f t="shared" si="4"/>
        <v>0</v>
      </c>
      <c r="S188" s="28" t="b">
        <f t="shared" si="5"/>
        <v>0</v>
      </c>
    </row>
    <row r="189" spans="16:19" x14ac:dyDescent="0.2">
      <c r="P189" s="32"/>
      <c r="Q189" s="33"/>
      <c r="R189" s="28" t="b">
        <f t="shared" si="4"/>
        <v>0</v>
      </c>
      <c r="S189" s="28" t="b">
        <f t="shared" si="5"/>
        <v>0</v>
      </c>
    </row>
    <row r="190" spans="16:19" x14ac:dyDescent="0.2">
      <c r="P190" s="32"/>
      <c r="Q190" s="33"/>
      <c r="R190" s="28" t="b">
        <f t="shared" si="4"/>
        <v>0</v>
      </c>
      <c r="S190" s="28" t="b">
        <f t="shared" si="5"/>
        <v>0</v>
      </c>
    </row>
    <row r="191" spans="16:19" x14ac:dyDescent="0.2">
      <c r="P191" s="32"/>
      <c r="Q191" s="33"/>
      <c r="R191" s="28" t="b">
        <f t="shared" si="4"/>
        <v>0</v>
      </c>
      <c r="S191" s="28" t="b">
        <f t="shared" si="5"/>
        <v>0</v>
      </c>
    </row>
    <row r="192" spans="16:19" x14ac:dyDescent="0.2">
      <c r="P192" s="32"/>
      <c r="Q192" s="33"/>
      <c r="R192" s="28" t="b">
        <f t="shared" si="4"/>
        <v>0</v>
      </c>
      <c r="S192" s="28" t="b">
        <f t="shared" si="5"/>
        <v>0</v>
      </c>
    </row>
    <row r="193" spans="16:19" x14ac:dyDescent="0.2">
      <c r="P193" s="32"/>
      <c r="Q193" s="33"/>
      <c r="R193" s="28" t="b">
        <f t="shared" si="4"/>
        <v>0</v>
      </c>
      <c r="S193" s="28" t="b">
        <f t="shared" si="5"/>
        <v>0</v>
      </c>
    </row>
    <row r="194" spans="16:19" x14ac:dyDescent="0.2">
      <c r="P194" s="32"/>
      <c r="Q194" s="33"/>
      <c r="R194" s="28" t="b">
        <f t="shared" si="4"/>
        <v>0</v>
      </c>
      <c r="S194" s="28" t="b">
        <f t="shared" si="5"/>
        <v>0</v>
      </c>
    </row>
    <row r="195" spans="16:19" x14ac:dyDescent="0.2">
      <c r="P195" s="32"/>
      <c r="Q195" s="33"/>
      <c r="R195" s="28" t="b">
        <f t="shared" si="4"/>
        <v>0</v>
      </c>
      <c r="S195" s="28" t="b">
        <f t="shared" si="5"/>
        <v>0</v>
      </c>
    </row>
    <row r="196" spans="16:19" x14ac:dyDescent="0.2">
      <c r="P196" s="32"/>
      <c r="Q196" s="33"/>
      <c r="R196" s="28" t="b">
        <f t="shared" ref="R196:R252" si="6">IF($P196&gt;0,$B$17+$B$18*$P196)</f>
        <v>0</v>
      </c>
      <c r="S196" s="28" t="b">
        <f t="shared" ref="S196:S252" si="7">IF($P196&gt;0,$Q196-$R196)</f>
        <v>0</v>
      </c>
    </row>
    <row r="197" spans="16:19" x14ac:dyDescent="0.2">
      <c r="P197" s="32"/>
      <c r="Q197" s="33"/>
      <c r="R197" s="28" t="b">
        <f t="shared" si="6"/>
        <v>0</v>
      </c>
      <c r="S197" s="28" t="b">
        <f t="shared" si="7"/>
        <v>0</v>
      </c>
    </row>
    <row r="198" spans="16:19" x14ac:dyDescent="0.2">
      <c r="P198" s="32"/>
      <c r="Q198" s="33"/>
      <c r="R198" s="28" t="b">
        <f t="shared" si="6"/>
        <v>0</v>
      </c>
      <c r="S198" s="28" t="b">
        <f t="shared" si="7"/>
        <v>0</v>
      </c>
    </row>
    <row r="199" spans="16:19" x14ac:dyDescent="0.2">
      <c r="P199" s="32"/>
      <c r="Q199" s="33"/>
      <c r="R199" s="28" t="b">
        <f t="shared" si="6"/>
        <v>0</v>
      </c>
      <c r="S199" s="28" t="b">
        <f t="shared" si="7"/>
        <v>0</v>
      </c>
    </row>
    <row r="200" spans="16:19" x14ac:dyDescent="0.2">
      <c r="P200" s="32"/>
      <c r="Q200" s="33"/>
      <c r="R200" s="28" t="b">
        <f t="shared" si="6"/>
        <v>0</v>
      </c>
      <c r="S200" s="28" t="b">
        <f t="shared" si="7"/>
        <v>0</v>
      </c>
    </row>
    <row r="201" spans="16:19" x14ac:dyDescent="0.2">
      <c r="P201" s="32"/>
      <c r="Q201" s="33"/>
      <c r="R201" s="28" t="b">
        <f t="shared" si="6"/>
        <v>0</v>
      </c>
      <c r="S201" s="28" t="b">
        <f t="shared" si="7"/>
        <v>0</v>
      </c>
    </row>
    <row r="202" spans="16:19" x14ac:dyDescent="0.2">
      <c r="P202" s="32"/>
      <c r="Q202" s="33"/>
      <c r="R202" s="28" t="b">
        <f t="shared" si="6"/>
        <v>0</v>
      </c>
      <c r="S202" s="28" t="b">
        <f t="shared" si="7"/>
        <v>0</v>
      </c>
    </row>
    <row r="203" spans="16:19" x14ac:dyDescent="0.2">
      <c r="P203" s="32"/>
      <c r="Q203" s="33"/>
      <c r="R203" s="28" t="b">
        <f t="shared" si="6"/>
        <v>0</v>
      </c>
      <c r="S203" s="28" t="b">
        <f t="shared" si="7"/>
        <v>0</v>
      </c>
    </row>
    <row r="204" spans="16:19" x14ac:dyDescent="0.2">
      <c r="P204" s="32"/>
      <c r="Q204" s="33"/>
      <c r="R204" s="28" t="b">
        <f t="shared" si="6"/>
        <v>0</v>
      </c>
      <c r="S204" s="28" t="b">
        <f t="shared" si="7"/>
        <v>0</v>
      </c>
    </row>
    <row r="205" spans="16:19" x14ac:dyDescent="0.2">
      <c r="P205" s="32"/>
      <c r="Q205" s="33"/>
      <c r="R205" s="28" t="b">
        <f t="shared" si="6"/>
        <v>0</v>
      </c>
      <c r="S205" s="28" t="b">
        <f t="shared" si="7"/>
        <v>0</v>
      </c>
    </row>
    <row r="206" spans="16:19" x14ac:dyDescent="0.2">
      <c r="P206" s="32"/>
      <c r="Q206" s="33"/>
      <c r="R206" s="28" t="b">
        <f t="shared" si="6"/>
        <v>0</v>
      </c>
      <c r="S206" s="28" t="b">
        <f t="shared" si="7"/>
        <v>0</v>
      </c>
    </row>
    <row r="207" spans="16:19" x14ac:dyDescent="0.2">
      <c r="P207" s="32"/>
      <c r="Q207" s="33"/>
      <c r="R207" s="28" t="b">
        <f t="shared" si="6"/>
        <v>0</v>
      </c>
      <c r="S207" s="28" t="b">
        <f t="shared" si="7"/>
        <v>0</v>
      </c>
    </row>
    <row r="208" spans="16:19" x14ac:dyDescent="0.2">
      <c r="P208" s="32"/>
      <c r="Q208" s="33"/>
      <c r="R208" s="28" t="b">
        <f t="shared" si="6"/>
        <v>0</v>
      </c>
      <c r="S208" s="28" t="b">
        <f t="shared" si="7"/>
        <v>0</v>
      </c>
    </row>
    <row r="209" spans="16:19" x14ac:dyDescent="0.2">
      <c r="P209" s="32"/>
      <c r="Q209" s="33"/>
      <c r="R209" s="28" t="b">
        <f t="shared" si="6"/>
        <v>0</v>
      </c>
      <c r="S209" s="28" t="b">
        <f t="shared" si="7"/>
        <v>0</v>
      </c>
    </row>
    <row r="210" spans="16:19" x14ac:dyDescent="0.2">
      <c r="P210" s="32"/>
      <c r="Q210" s="33"/>
      <c r="R210" s="28" t="b">
        <f t="shared" si="6"/>
        <v>0</v>
      </c>
      <c r="S210" s="28" t="b">
        <f t="shared" si="7"/>
        <v>0</v>
      </c>
    </row>
    <row r="211" spans="16:19" x14ac:dyDescent="0.2">
      <c r="P211" s="32"/>
      <c r="Q211" s="33"/>
      <c r="R211" s="28" t="b">
        <f t="shared" si="6"/>
        <v>0</v>
      </c>
      <c r="S211" s="28" t="b">
        <f t="shared" si="7"/>
        <v>0</v>
      </c>
    </row>
    <row r="212" spans="16:19" x14ac:dyDescent="0.2">
      <c r="P212" s="32"/>
      <c r="Q212" s="33"/>
      <c r="R212" s="28" t="b">
        <f t="shared" si="6"/>
        <v>0</v>
      </c>
      <c r="S212" s="28" t="b">
        <f t="shared" si="7"/>
        <v>0</v>
      </c>
    </row>
    <row r="213" spans="16:19" x14ac:dyDescent="0.2">
      <c r="P213" s="32"/>
      <c r="Q213" s="33"/>
      <c r="R213" s="28" t="b">
        <f t="shared" si="6"/>
        <v>0</v>
      </c>
      <c r="S213" s="28" t="b">
        <f t="shared" si="7"/>
        <v>0</v>
      </c>
    </row>
    <row r="214" spans="16:19" x14ac:dyDescent="0.2">
      <c r="P214" s="32"/>
      <c r="Q214" s="33"/>
      <c r="R214" s="28" t="b">
        <f t="shared" si="6"/>
        <v>0</v>
      </c>
      <c r="S214" s="28" t="b">
        <f t="shared" si="7"/>
        <v>0</v>
      </c>
    </row>
    <row r="215" spans="16:19" x14ac:dyDescent="0.2">
      <c r="P215" s="32"/>
      <c r="Q215" s="33"/>
      <c r="R215" s="28" t="b">
        <f t="shared" si="6"/>
        <v>0</v>
      </c>
      <c r="S215" s="28" t="b">
        <f t="shared" si="7"/>
        <v>0</v>
      </c>
    </row>
    <row r="216" spans="16:19" x14ac:dyDescent="0.2">
      <c r="P216" s="32"/>
      <c r="Q216" s="33"/>
      <c r="R216" s="28" t="b">
        <f t="shared" si="6"/>
        <v>0</v>
      </c>
      <c r="S216" s="28" t="b">
        <f t="shared" si="7"/>
        <v>0</v>
      </c>
    </row>
    <row r="217" spans="16:19" x14ac:dyDescent="0.2">
      <c r="P217" s="32"/>
      <c r="Q217" s="33"/>
      <c r="R217" s="28" t="b">
        <f t="shared" si="6"/>
        <v>0</v>
      </c>
      <c r="S217" s="28" t="b">
        <f t="shared" si="7"/>
        <v>0</v>
      </c>
    </row>
    <row r="218" spans="16:19" x14ac:dyDescent="0.2">
      <c r="P218" s="32"/>
      <c r="Q218" s="33"/>
      <c r="R218" s="28" t="b">
        <f t="shared" si="6"/>
        <v>0</v>
      </c>
      <c r="S218" s="28" t="b">
        <f t="shared" si="7"/>
        <v>0</v>
      </c>
    </row>
    <row r="219" spans="16:19" x14ac:dyDescent="0.2">
      <c r="P219" s="32"/>
      <c r="Q219" s="33"/>
      <c r="R219" s="28" t="b">
        <f t="shared" si="6"/>
        <v>0</v>
      </c>
      <c r="S219" s="28" t="b">
        <f t="shared" si="7"/>
        <v>0</v>
      </c>
    </row>
    <row r="220" spans="16:19" x14ac:dyDescent="0.2">
      <c r="P220" s="32"/>
      <c r="Q220" s="33"/>
      <c r="R220" s="28" t="b">
        <f t="shared" si="6"/>
        <v>0</v>
      </c>
      <c r="S220" s="28" t="b">
        <f t="shared" si="7"/>
        <v>0</v>
      </c>
    </row>
    <row r="221" spans="16:19" x14ac:dyDescent="0.2">
      <c r="P221" s="32"/>
      <c r="Q221" s="33"/>
      <c r="R221" s="28" t="b">
        <f t="shared" si="6"/>
        <v>0</v>
      </c>
      <c r="S221" s="28" t="b">
        <f t="shared" si="7"/>
        <v>0</v>
      </c>
    </row>
    <row r="222" spans="16:19" x14ac:dyDescent="0.2">
      <c r="P222" s="32"/>
      <c r="Q222" s="33"/>
      <c r="R222" s="28" t="b">
        <f t="shared" si="6"/>
        <v>0</v>
      </c>
      <c r="S222" s="28" t="b">
        <f t="shared" si="7"/>
        <v>0</v>
      </c>
    </row>
    <row r="223" spans="16:19" x14ac:dyDescent="0.2">
      <c r="P223" s="32"/>
      <c r="Q223" s="33"/>
      <c r="R223" s="28" t="b">
        <f t="shared" si="6"/>
        <v>0</v>
      </c>
      <c r="S223" s="28" t="b">
        <f t="shared" si="7"/>
        <v>0</v>
      </c>
    </row>
    <row r="224" spans="16:19" x14ac:dyDescent="0.2">
      <c r="P224" s="32"/>
      <c r="Q224" s="33"/>
      <c r="R224" s="28" t="b">
        <f t="shared" si="6"/>
        <v>0</v>
      </c>
      <c r="S224" s="28" t="b">
        <f t="shared" si="7"/>
        <v>0</v>
      </c>
    </row>
    <row r="225" spans="16:19" x14ac:dyDescent="0.2">
      <c r="P225" s="32"/>
      <c r="Q225" s="33"/>
      <c r="R225" s="28" t="b">
        <f t="shared" si="6"/>
        <v>0</v>
      </c>
      <c r="S225" s="28" t="b">
        <f t="shared" si="7"/>
        <v>0</v>
      </c>
    </row>
    <row r="226" spans="16:19" x14ac:dyDescent="0.2">
      <c r="P226" s="32"/>
      <c r="Q226" s="33"/>
      <c r="R226" s="28" t="b">
        <f t="shared" si="6"/>
        <v>0</v>
      </c>
      <c r="S226" s="28" t="b">
        <f t="shared" si="7"/>
        <v>0</v>
      </c>
    </row>
    <row r="227" spans="16:19" x14ac:dyDescent="0.2">
      <c r="P227" s="32"/>
      <c r="Q227" s="33"/>
      <c r="R227" s="28" t="b">
        <f t="shared" si="6"/>
        <v>0</v>
      </c>
      <c r="S227" s="28" t="b">
        <f t="shared" si="7"/>
        <v>0</v>
      </c>
    </row>
    <row r="228" spans="16:19" x14ac:dyDescent="0.2">
      <c r="P228" s="32"/>
      <c r="Q228" s="33"/>
      <c r="R228" s="28" t="b">
        <f t="shared" si="6"/>
        <v>0</v>
      </c>
      <c r="S228" s="28" t="b">
        <f t="shared" si="7"/>
        <v>0</v>
      </c>
    </row>
    <row r="229" spans="16:19" x14ac:dyDescent="0.2">
      <c r="P229" s="32"/>
      <c r="Q229" s="33"/>
      <c r="R229" s="28" t="b">
        <f t="shared" si="6"/>
        <v>0</v>
      </c>
      <c r="S229" s="28" t="b">
        <f t="shared" si="7"/>
        <v>0</v>
      </c>
    </row>
    <row r="230" spans="16:19" x14ac:dyDescent="0.2">
      <c r="P230" s="32"/>
      <c r="Q230" s="33"/>
      <c r="R230" s="28" t="b">
        <f t="shared" si="6"/>
        <v>0</v>
      </c>
      <c r="S230" s="28" t="b">
        <f t="shared" si="7"/>
        <v>0</v>
      </c>
    </row>
    <row r="231" spans="16:19" x14ac:dyDescent="0.2">
      <c r="P231" s="32"/>
      <c r="Q231" s="33"/>
      <c r="R231" s="28" t="b">
        <f t="shared" si="6"/>
        <v>0</v>
      </c>
      <c r="S231" s="28" t="b">
        <f t="shared" si="7"/>
        <v>0</v>
      </c>
    </row>
    <row r="232" spans="16:19" x14ac:dyDescent="0.2">
      <c r="P232" s="32"/>
      <c r="Q232" s="33"/>
      <c r="R232" s="28" t="b">
        <f t="shared" si="6"/>
        <v>0</v>
      </c>
      <c r="S232" s="28" t="b">
        <f t="shared" si="7"/>
        <v>0</v>
      </c>
    </row>
    <row r="233" spans="16:19" x14ac:dyDescent="0.2">
      <c r="P233" s="32"/>
      <c r="Q233" s="33"/>
      <c r="R233" s="28" t="b">
        <f t="shared" si="6"/>
        <v>0</v>
      </c>
      <c r="S233" s="28" t="b">
        <f t="shared" si="7"/>
        <v>0</v>
      </c>
    </row>
    <row r="234" spans="16:19" x14ac:dyDescent="0.2">
      <c r="P234" s="32"/>
      <c r="Q234" s="33"/>
      <c r="R234" s="28" t="b">
        <f t="shared" si="6"/>
        <v>0</v>
      </c>
      <c r="S234" s="28" t="b">
        <f t="shared" si="7"/>
        <v>0</v>
      </c>
    </row>
    <row r="235" spans="16:19" x14ac:dyDescent="0.2">
      <c r="P235" s="32"/>
      <c r="Q235" s="33"/>
      <c r="R235" s="28" t="b">
        <f t="shared" si="6"/>
        <v>0</v>
      </c>
      <c r="S235" s="28" t="b">
        <f t="shared" si="7"/>
        <v>0</v>
      </c>
    </row>
    <row r="236" spans="16:19" x14ac:dyDescent="0.2">
      <c r="P236" s="32"/>
      <c r="Q236" s="33"/>
      <c r="R236" s="28" t="b">
        <f t="shared" si="6"/>
        <v>0</v>
      </c>
      <c r="S236" s="28" t="b">
        <f t="shared" si="7"/>
        <v>0</v>
      </c>
    </row>
    <row r="237" spans="16:19" x14ac:dyDescent="0.2">
      <c r="P237" s="32"/>
      <c r="Q237" s="33"/>
      <c r="R237" s="28" t="b">
        <f t="shared" si="6"/>
        <v>0</v>
      </c>
      <c r="S237" s="28" t="b">
        <f t="shared" si="7"/>
        <v>0</v>
      </c>
    </row>
    <row r="238" spans="16:19" x14ac:dyDescent="0.2">
      <c r="P238" s="32"/>
      <c r="Q238" s="33"/>
      <c r="R238" s="28" t="b">
        <f t="shared" si="6"/>
        <v>0</v>
      </c>
      <c r="S238" s="28" t="b">
        <f t="shared" si="7"/>
        <v>0</v>
      </c>
    </row>
    <row r="239" spans="16:19" x14ac:dyDescent="0.2">
      <c r="P239" s="32"/>
      <c r="Q239" s="33"/>
      <c r="R239" s="28" t="b">
        <f t="shared" si="6"/>
        <v>0</v>
      </c>
      <c r="S239" s="28" t="b">
        <f t="shared" si="7"/>
        <v>0</v>
      </c>
    </row>
    <row r="240" spans="16:19" x14ac:dyDescent="0.2">
      <c r="P240" s="32"/>
      <c r="Q240" s="33"/>
      <c r="R240" s="28" t="b">
        <f t="shared" si="6"/>
        <v>0</v>
      </c>
      <c r="S240" s="28" t="b">
        <f t="shared" si="7"/>
        <v>0</v>
      </c>
    </row>
    <row r="241" spans="16:19" x14ac:dyDescent="0.2">
      <c r="P241" s="32"/>
      <c r="Q241" s="33"/>
      <c r="R241" s="28" t="b">
        <f t="shared" si="6"/>
        <v>0</v>
      </c>
      <c r="S241" s="28" t="b">
        <f t="shared" si="7"/>
        <v>0</v>
      </c>
    </row>
    <row r="242" spans="16:19" x14ac:dyDescent="0.2">
      <c r="P242" s="32"/>
      <c r="Q242" s="33"/>
      <c r="R242" s="28" t="b">
        <f t="shared" si="6"/>
        <v>0</v>
      </c>
      <c r="S242" s="28" t="b">
        <f t="shared" si="7"/>
        <v>0</v>
      </c>
    </row>
    <row r="243" spans="16:19" x14ac:dyDescent="0.2">
      <c r="P243" s="32"/>
      <c r="Q243" s="33"/>
      <c r="R243" s="28" t="b">
        <f t="shared" si="6"/>
        <v>0</v>
      </c>
      <c r="S243" s="28" t="b">
        <f t="shared" si="7"/>
        <v>0</v>
      </c>
    </row>
    <row r="244" spans="16:19" x14ac:dyDescent="0.2">
      <c r="P244" s="32"/>
      <c r="Q244" s="33"/>
      <c r="R244" s="28" t="b">
        <f t="shared" si="6"/>
        <v>0</v>
      </c>
      <c r="S244" s="28" t="b">
        <f t="shared" si="7"/>
        <v>0</v>
      </c>
    </row>
    <row r="245" spans="16:19" x14ac:dyDescent="0.2">
      <c r="P245" s="32"/>
      <c r="Q245" s="33"/>
      <c r="R245" s="28" t="b">
        <f t="shared" si="6"/>
        <v>0</v>
      </c>
      <c r="S245" s="28" t="b">
        <f t="shared" si="7"/>
        <v>0</v>
      </c>
    </row>
    <row r="246" spans="16:19" x14ac:dyDescent="0.2">
      <c r="P246" s="32"/>
      <c r="Q246" s="33"/>
      <c r="R246" s="28" t="b">
        <f t="shared" si="6"/>
        <v>0</v>
      </c>
      <c r="S246" s="28" t="b">
        <f t="shared" si="7"/>
        <v>0</v>
      </c>
    </row>
    <row r="247" spans="16:19" x14ac:dyDescent="0.2">
      <c r="P247" s="32"/>
      <c r="Q247" s="33"/>
      <c r="R247" s="28" t="b">
        <f t="shared" si="6"/>
        <v>0</v>
      </c>
      <c r="S247" s="28" t="b">
        <f t="shared" si="7"/>
        <v>0</v>
      </c>
    </row>
    <row r="248" spans="16:19" x14ac:dyDescent="0.2">
      <c r="P248" s="32"/>
      <c r="Q248" s="33"/>
      <c r="R248" s="28" t="b">
        <f t="shared" si="6"/>
        <v>0</v>
      </c>
      <c r="S248" s="28" t="b">
        <f t="shared" si="7"/>
        <v>0</v>
      </c>
    </row>
    <row r="249" spans="16:19" x14ac:dyDescent="0.2">
      <c r="P249" s="32"/>
      <c r="Q249" s="33"/>
      <c r="R249" s="28" t="b">
        <f t="shared" si="6"/>
        <v>0</v>
      </c>
      <c r="S249" s="28" t="b">
        <f t="shared" si="7"/>
        <v>0</v>
      </c>
    </row>
    <row r="250" spans="16:19" x14ac:dyDescent="0.2">
      <c r="P250" s="32"/>
      <c r="Q250" s="33"/>
      <c r="R250" s="28" t="b">
        <f t="shared" si="6"/>
        <v>0</v>
      </c>
      <c r="S250" s="28" t="b">
        <f t="shared" si="7"/>
        <v>0</v>
      </c>
    </row>
    <row r="251" spans="16:19" x14ac:dyDescent="0.2">
      <c r="P251" s="32"/>
      <c r="Q251" s="33"/>
      <c r="R251" s="28" t="b">
        <f t="shared" si="6"/>
        <v>0</v>
      </c>
      <c r="S251" s="28" t="b">
        <f t="shared" si="7"/>
        <v>0</v>
      </c>
    </row>
    <row r="252" spans="16:19" x14ac:dyDescent="0.2">
      <c r="P252" s="32"/>
      <c r="Q252" s="33"/>
      <c r="R252" s="28" t="b">
        <f t="shared" si="6"/>
        <v>0</v>
      </c>
      <c r="S252" s="28" t="b">
        <f t="shared" si="7"/>
        <v>0</v>
      </c>
    </row>
  </sheetData>
  <sheetProtection sheet="1" objects="1" scenarios="1" selectLockedCells="1"/>
  <mergeCells count="12">
    <mergeCell ref="A38:C38"/>
    <mergeCell ref="A1:B2"/>
    <mergeCell ref="C1:C2"/>
    <mergeCell ref="E1:G1"/>
    <mergeCell ref="B3:C3"/>
    <mergeCell ref="B4:C4"/>
    <mergeCell ref="A8:C8"/>
    <mergeCell ref="A15:C15"/>
    <mergeCell ref="A20:C20"/>
    <mergeCell ref="E26:G26"/>
    <mergeCell ref="A31:C31"/>
    <mergeCell ref="A34:C34"/>
  </mergeCells>
  <pageMargins left="0.39370078740157483" right="0.39370078740157483" top="0.82677165354330717" bottom="0.31496062992125984" header="0.19685039370078741" footer="0.11811023622047245"/>
  <pageSetup paperSize="9" scale="61" orientation="landscape" r:id="rId1"/>
  <headerFooter alignWithMargins="0">
    <oddHeader>&amp;C&amp;"Arial,Fett"&amp;14Ermittlung von Auslöseschwellen nach § 12 (1) DepV</oddHeader>
    <oddFooter>&amp;L&amp;G&amp;RVersion 2.1 (2018)</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13" sqref="A13"/>
    </sheetView>
  </sheetViews>
  <sheetFormatPr baseColWidth="10" defaultRowHeight="12.75" x14ac:dyDescent="0.2"/>
  <cols>
    <col min="1" max="1" width="137.140625" customWidth="1"/>
  </cols>
  <sheetData>
    <row r="1" spans="1:1" ht="18" x14ac:dyDescent="0.25">
      <c r="A1" s="139" t="s">
        <v>149</v>
      </c>
    </row>
    <row r="3" spans="1:1" ht="49.5" customHeight="1" x14ac:dyDescent="0.2">
      <c r="A3" s="140" t="s">
        <v>150</v>
      </c>
    </row>
    <row r="5" spans="1:1" ht="18" customHeight="1" x14ac:dyDescent="0.2">
      <c r="A5" s="141" t="s">
        <v>151</v>
      </c>
    </row>
    <row r="6" spans="1:1" ht="14.25" x14ac:dyDescent="0.2">
      <c r="A6" s="142" t="s">
        <v>152</v>
      </c>
    </row>
    <row r="8" spans="1:1" ht="14.25" x14ac:dyDescent="0.2">
      <c r="A8" s="143" t="s">
        <v>153</v>
      </c>
    </row>
  </sheetData>
  <hyperlinks>
    <hyperlink ref="A6" r:id="rId1"/>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workbookViewId="0">
      <selection activeCell="H23" sqref="H23"/>
    </sheetView>
  </sheetViews>
  <sheetFormatPr baseColWidth="10" defaultRowHeight="12.75" x14ac:dyDescent="0.2"/>
  <cols>
    <col min="1" max="1" width="13.7109375" customWidth="1"/>
  </cols>
  <sheetData>
    <row r="1" spans="1:4" x14ac:dyDescent="0.2">
      <c r="A1" s="17"/>
    </row>
    <row r="2" spans="1:4" x14ac:dyDescent="0.2">
      <c r="A2" s="135" t="s">
        <v>49</v>
      </c>
      <c r="B2" s="135"/>
      <c r="C2" s="135" t="s">
        <v>46</v>
      </c>
      <c r="D2" s="135"/>
    </row>
    <row r="3" spans="1:4" x14ac:dyDescent="0.2">
      <c r="A3" s="136" t="s">
        <v>11</v>
      </c>
      <c r="B3" s="136" t="s">
        <v>43</v>
      </c>
      <c r="C3" s="136" t="s">
        <v>47</v>
      </c>
      <c r="D3" s="136" t="s">
        <v>48</v>
      </c>
    </row>
    <row r="4" spans="1:4" x14ac:dyDescent="0.2">
      <c r="A4" s="137">
        <v>4</v>
      </c>
      <c r="B4" s="138">
        <v>2.06</v>
      </c>
      <c r="C4" s="79">
        <v>0.95</v>
      </c>
      <c r="D4" s="79">
        <v>0.99</v>
      </c>
    </row>
    <row r="5" spans="1:4" x14ac:dyDescent="0.2">
      <c r="A5" s="137">
        <v>5</v>
      </c>
      <c r="B5" s="138">
        <v>2.23</v>
      </c>
      <c r="C5" s="79">
        <v>0.87829999999999997</v>
      </c>
      <c r="D5" s="79">
        <v>0.9587</v>
      </c>
    </row>
    <row r="6" spans="1:4" x14ac:dyDescent="0.2">
      <c r="A6" s="137">
        <v>6</v>
      </c>
      <c r="B6" s="138">
        <v>2.4</v>
      </c>
      <c r="C6" s="79">
        <v>0.81140000000000001</v>
      </c>
      <c r="D6" s="79">
        <v>0.91720000000000002</v>
      </c>
    </row>
    <row r="7" spans="1:4" x14ac:dyDescent="0.2">
      <c r="A7" s="137">
        <v>7</v>
      </c>
      <c r="B7" s="138">
        <v>2.57</v>
      </c>
      <c r="C7" s="79">
        <v>0.75449999999999995</v>
      </c>
      <c r="D7" s="79">
        <v>0.87450000000000006</v>
      </c>
    </row>
    <row r="8" spans="1:4" x14ac:dyDescent="0.2">
      <c r="A8" s="137">
        <v>8</v>
      </c>
      <c r="B8" s="138">
        <v>2.74</v>
      </c>
      <c r="C8" s="79">
        <v>0.70669999999999999</v>
      </c>
      <c r="D8" s="79">
        <v>0.83430000000000004</v>
      </c>
    </row>
    <row r="9" spans="1:4" x14ac:dyDescent="0.2">
      <c r="A9" s="137">
        <v>9</v>
      </c>
      <c r="B9" s="138">
        <v>2.91</v>
      </c>
      <c r="C9" s="79">
        <v>0.66639999999999999</v>
      </c>
      <c r="D9" s="79">
        <v>0.79769999999999996</v>
      </c>
    </row>
    <row r="10" spans="1:4" x14ac:dyDescent="0.2">
      <c r="A10" s="137">
        <v>10</v>
      </c>
      <c r="B10" s="138">
        <v>3.08</v>
      </c>
      <c r="C10" s="79">
        <v>0.63190000000000002</v>
      </c>
      <c r="D10" s="79">
        <v>0.76459999999999995</v>
      </c>
    </row>
    <row r="11" spans="1:4" x14ac:dyDescent="0.2">
      <c r="A11" s="137">
        <v>11</v>
      </c>
      <c r="B11" s="138">
        <v>3.1579999999999999</v>
      </c>
      <c r="C11" s="79">
        <v>0.60209999999999997</v>
      </c>
      <c r="D11" s="79">
        <v>0.73480000000000001</v>
      </c>
    </row>
    <row r="12" spans="1:4" x14ac:dyDescent="0.2">
      <c r="A12" s="137">
        <v>12</v>
      </c>
      <c r="B12" s="138">
        <v>3.2360000000000002</v>
      </c>
      <c r="C12" s="79">
        <v>0.57599999999999996</v>
      </c>
      <c r="D12" s="79">
        <v>0.70789999999999997</v>
      </c>
    </row>
    <row r="13" spans="1:4" x14ac:dyDescent="0.2">
      <c r="A13" s="137">
        <v>13</v>
      </c>
      <c r="B13" s="138">
        <v>3.3140000000000001</v>
      </c>
      <c r="C13" s="79">
        <v>0.55289999999999995</v>
      </c>
      <c r="D13" s="79">
        <v>0.6835</v>
      </c>
    </row>
    <row r="14" spans="1:4" x14ac:dyDescent="0.2">
      <c r="A14" s="137">
        <v>14</v>
      </c>
      <c r="B14" s="138">
        <v>3.3920000000000003</v>
      </c>
      <c r="C14" s="79">
        <v>0.53239999999999998</v>
      </c>
      <c r="D14" s="79">
        <v>0.66139999999999999</v>
      </c>
    </row>
    <row r="15" spans="1:4" x14ac:dyDescent="0.2">
      <c r="A15" s="137">
        <v>15</v>
      </c>
      <c r="B15" s="138">
        <v>3.47</v>
      </c>
      <c r="C15" s="79">
        <v>0.51390000000000002</v>
      </c>
      <c r="D15" s="79">
        <v>0.6411</v>
      </c>
    </row>
    <row r="16" spans="1:4" x14ac:dyDescent="0.2">
      <c r="A16" s="137">
        <v>16</v>
      </c>
      <c r="B16" s="138">
        <v>3.524</v>
      </c>
      <c r="C16" s="79">
        <v>0.49730000000000002</v>
      </c>
      <c r="D16" s="79">
        <v>0.62260000000000004</v>
      </c>
    </row>
    <row r="17" spans="1:4" x14ac:dyDescent="0.2">
      <c r="A17" s="137">
        <v>17</v>
      </c>
      <c r="B17" s="138">
        <v>3.5780000000000003</v>
      </c>
      <c r="C17" s="79">
        <v>0.48209999999999997</v>
      </c>
      <c r="D17" s="79">
        <v>0.60550000000000004</v>
      </c>
    </row>
    <row r="18" spans="1:4" x14ac:dyDescent="0.2">
      <c r="A18" s="137">
        <v>18</v>
      </c>
      <c r="B18" s="138">
        <v>3.6320000000000001</v>
      </c>
      <c r="C18" s="79">
        <v>0.46829999999999999</v>
      </c>
      <c r="D18" s="79">
        <v>0.5897</v>
      </c>
    </row>
    <row r="19" spans="1:4" x14ac:dyDescent="0.2">
      <c r="A19" s="137">
        <v>19</v>
      </c>
      <c r="B19" s="138">
        <v>3.6860000000000004</v>
      </c>
      <c r="C19" s="79">
        <v>0.45550000000000002</v>
      </c>
      <c r="D19" s="79">
        <v>0.57509999999999994</v>
      </c>
    </row>
    <row r="20" spans="1:4" x14ac:dyDescent="0.2">
      <c r="A20" s="137">
        <v>20</v>
      </c>
      <c r="B20" s="138">
        <v>3.74</v>
      </c>
      <c r="C20" s="79">
        <v>0.44379999999999997</v>
      </c>
      <c r="D20" s="79">
        <v>0.56140000000000001</v>
      </c>
    </row>
    <row r="21" spans="1:4" x14ac:dyDescent="0.2">
      <c r="A21" s="137">
        <v>21</v>
      </c>
      <c r="B21" s="138">
        <v>3.7760000000000002</v>
      </c>
      <c r="C21" s="79">
        <v>0.43290000000000001</v>
      </c>
      <c r="D21" s="79">
        <v>0.54869999999999997</v>
      </c>
    </row>
    <row r="22" spans="1:4" x14ac:dyDescent="0.2">
      <c r="A22" s="137">
        <v>22</v>
      </c>
      <c r="B22" s="138">
        <v>3.8120000000000003</v>
      </c>
      <c r="C22" s="79">
        <v>0.42270000000000002</v>
      </c>
      <c r="D22" s="79">
        <v>0.53680000000000005</v>
      </c>
    </row>
    <row r="23" spans="1:4" x14ac:dyDescent="0.2">
      <c r="A23" s="137">
        <v>23</v>
      </c>
      <c r="B23" s="138">
        <v>3.8479999999999999</v>
      </c>
      <c r="C23" s="79">
        <v>0.41320000000000001</v>
      </c>
      <c r="D23" s="79">
        <v>0.52559999999999996</v>
      </c>
    </row>
    <row r="24" spans="1:4" x14ac:dyDescent="0.2">
      <c r="A24" s="137">
        <v>24</v>
      </c>
      <c r="B24" s="138">
        <v>3.8839999999999999</v>
      </c>
      <c r="C24" s="79">
        <v>0.40439999999999998</v>
      </c>
      <c r="D24" s="79">
        <v>0.5151</v>
      </c>
    </row>
    <row r="25" spans="1:4" x14ac:dyDescent="0.2">
      <c r="A25" s="137">
        <v>25</v>
      </c>
      <c r="B25" s="138">
        <v>3.92</v>
      </c>
      <c r="C25" s="79">
        <v>0.39610000000000001</v>
      </c>
      <c r="D25" s="79">
        <v>0.50519999999999998</v>
      </c>
    </row>
    <row r="26" spans="1:4" x14ac:dyDescent="0.2">
      <c r="A26" s="137">
        <v>26</v>
      </c>
      <c r="B26" s="138">
        <v>3.956</v>
      </c>
      <c r="C26" s="79">
        <v>0.38819999999999999</v>
      </c>
      <c r="D26" s="79">
        <v>0.49580000000000002</v>
      </c>
    </row>
    <row r="27" spans="1:4" x14ac:dyDescent="0.2">
      <c r="A27" s="137">
        <v>27</v>
      </c>
      <c r="B27" s="138">
        <v>3.992</v>
      </c>
      <c r="C27" s="79">
        <v>0.38090000000000002</v>
      </c>
      <c r="D27" s="79">
        <v>0.4869</v>
      </c>
    </row>
    <row r="28" spans="1:4" x14ac:dyDescent="0.2">
      <c r="A28" s="137">
        <v>28</v>
      </c>
      <c r="B28" s="138">
        <v>4.0279999999999996</v>
      </c>
      <c r="C28" s="79">
        <v>0.37390000000000001</v>
      </c>
      <c r="D28" s="79">
        <v>0.47849999999999998</v>
      </c>
    </row>
    <row r="29" spans="1:4" x14ac:dyDescent="0.2">
      <c r="A29" s="137">
        <v>29</v>
      </c>
      <c r="B29" s="138">
        <v>4.0640000000000001</v>
      </c>
      <c r="C29" s="79">
        <v>0.36730000000000002</v>
      </c>
      <c r="D29" s="79">
        <v>0.47049999999999997</v>
      </c>
    </row>
    <row r="30" spans="1:4" x14ac:dyDescent="0.2">
      <c r="A30" s="137">
        <v>30</v>
      </c>
      <c r="B30" s="138">
        <v>4.0999999999999996</v>
      </c>
      <c r="C30" s="79">
        <v>0.36099999999999999</v>
      </c>
      <c r="D30" s="79">
        <v>0.46289999999999998</v>
      </c>
    </row>
    <row r="31" spans="1:4" x14ac:dyDescent="0.2">
      <c r="A31" s="137">
        <v>31</v>
      </c>
      <c r="B31" s="138">
        <v>4.12</v>
      </c>
      <c r="C31" s="79">
        <v>0.35499999999999998</v>
      </c>
      <c r="D31" s="79">
        <v>0.4556</v>
      </c>
    </row>
    <row r="32" spans="1:4" x14ac:dyDescent="0.2">
      <c r="A32" s="137">
        <v>32</v>
      </c>
      <c r="B32" s="138">
        <v>4.1399999999999997</v>
      </c>
      <c r="C32" s="79">
        <v>0.34939999999999999</v>
      </c>
      <c r="D32" s="79">
        <v>0.44869999999999999</v>
      </c>
    </row>
    <row r="33" spans="1:4" x14ac:dyDescent="0.2">
      <c r="A33" s="137">
        <v>33</v>
      </c>
      <c r="B33" s="138">
        <v>4.16</v>
      </c>
      <c r="C33" s="79">
        <v>0.34399999999999997</v>
      </c>
      <c r="D33" s="79">
        <v>0.44209999999999999</v>
      </c>
    </row>
    <row r="34" spans="1:4" x14ac:dyDescent="0.2">
      <c r="A34" s="137">
        <v>34</v>
      </c>
      <c r="B34" s="138">
        <v>4.18</v>
      </c>
      <c r="C34" s="79">
        <v>0.33879999999999999</v>
      </c>
      <c r="D34" s="79">
        <v>0.43569999999999998</v>
      </c>
    </row>
    <row r="35" spans="1:4" x14ac:dyDescent="0.2">
      <c r="A35" s="137">
        <v>35</v>
      </c>
      <c r="B35" s="138">
        <v>4.2</v>
      </c>
      <c r="C35" s="79">
        <v>0.33379999999999999</v>
      </c>
      <c r="D35" s="79">
        <v>0.42970000000000003</v>
      </c>
    </row>
    <row r="36" spans="1:4" x14ac:dyDescent="0.2">
      <c r="A36" s="137">
        <v>36</v>
      </c>
      <c r="B36" s="138">
        <v>4.22</v>
      </c>
      <c r="C36" s="79">
        <v>0.3291</v>
      </c>
      <c r="D36" s="79">
        <v>0.42380000000000001</v>
      </c>
    </row>
    <row r="37" spans="1:4" x14ac:dyDescent="0.2">
      <c r="A37" s="137">
        <v>37</v>
      </c>
      <c r="B37" s="138">
        <v>4.24</v>
      </c>
      <c r="C37" s="79">
        <v>0.3246</v>
      </c>
      <c r="D37" s="79">
        <v>0.41820000000000002</v>
      </c>
    </row>
    <row r="38" spans="1:4" x14ac:dyDescent="0.2">
      <c r="A38" s="137">
        <v>38</v>
      </c>
      <c r="B38" s="138">
        <v>4.26</v>
      </c>
      <c r="C38" s="79">
        <v>0.32019999999999998</v>
      </c>
      <c r="D38" s="79">
        <v>0.4128</v>
      </c>
    </row>
    <row r="39" spans="1:4" x14ac:dyDescent="0.2">
      <c r="A39" s="137">
        <v>39</v>
      </c>
      <c r="B39" s="138">
        <v>4.28</v>
      </c>
      <c r="C39" s="79">
        <v>0.316</v>
      </c>
      <c r="D39" s="79">
        <v>0.40760000000000002</v>
      </c>
    </row>
    <row r="40" spans="1:4" x14ac:dyDescent="0.2">
      <c r="A40" s="137">
        <v>40</v>
      </c>
      <c r="B40" s="138">
        <v>4.3</v>
      </c>
      <c r="C40" s="79">
        <v>0.312</v>
      </c>
      <c r="D40" s="79">
        <v>0.40260000000000001</v>
      </c>
    </row>
    <row r="41" spans="1:4" x14ac:dyDescent="0.2">
      <c r="A41" s="137">
        <v>41</v>
      </c>
      <c r="B41" s="138">
        <v>4.32</v>
      </c>
      <c r="C41" s="79">
        <v>0.30809999999999998</v>
      </c>
      <c r="D41" s="79">
        <v>0.39779999999999999</v>
      </c>
    </row>
    <row r="42" spans="1:4" x14ac:dyDescent="0.2">
      <c r="A42" s="137">
        <v>42</v>
      </c>
      <c r="B42" s="138">
        <v>4.34</v>
      </c>
      <c r="C42" s="79">
        <v>0.3044</v>
      </c>
      <c r="D42" s="79">
        <v>0.39319999999999999</v>
      </c>
    </row>
    <row r="43" spans="1:4" x14ac:dyDescent="0.2">
      <c r="A43" s="137">
        <v>43</v>
      </c>
      <c r="B43" s="138">
        <v>4.3600000000000003</v>
      </c>
      <c r="C43" s="79">
        <v>0.30080000000000001</v>
      </c>
      <c r="D43" s="79">
        <v>0.38869999999999999</v>
      </c>
    </row>
    <row r="44" spans="1:4" x14ac:dyDescent="0.2">
      <c r="A44" s="137">
        <v>44</v>
      </c>
      <c r="B44" s="138">
        <v>4.38</v>
      </c>
      <c r="C44" s="79">
        <v>0.29730000000000001</v>
      </c>
      <c r="D44" s="79">
        <v>0.38429999999999997</v>
      </c>
    </row>
    <row r="45" spans="1:4" x14ac:dyDescent="0.2">
      <c r="A45" s="137">
        <v>45</v>
      </c>
      <c r="B45" s="138">
        <v>4.4000000000000004</v>
      </c>
      <c r="C45" s="79">
        <v>0.29399999999999998</v>
      </c>
      <c r="D45" s="79">
        <v>0.38019999999999998</v>
      </c>
    </row>
    <row r="46" spans="1:4" x14ac:dyDescent="0.2">
      <c r="A46" s="137">
        <v>46</v>
      </c>
      <c r="B46" s="138">
        <v>4.42</v>
      </c>
      <c r="C46" s="79">
        <v>0.29070000000000001</v>
      </c>
      <c r="D46" s="79">
        <v>0.37609999999999999</v>
      </c>
    </row>
    <row r="47" spans="1:4" x14ac:dyDescent="0.2">
      <c r="A47" s="137">
        <v>47</v>
      </c>
      <c r="B47" s="138">
        <v>4.4400000000000004</v>
      </c>
      <c r="C47" s="79">
        <v>0.28749999999999998</v>
      </c>
      <c r="D47" s="79">
        <v>0.37209999999999999</v>
      </c>
    </row>
    <row r="48" spans="1:4" x14ac:dyDescent="0.2">
      <c r="A48" s="137">
        <v>48</v>
      </c>
      <c r="B48" s="138">
        <v>4.46</v>
      </c>
      <c r="C48" s="79">
        <v>0.28449999999999998</v>
      </c>
      <c r="D48" s="79">
        <v>0.36830000000000002</v>
      </c>
    </row>
    <row r="49" spans="1:4" x14ac:dyDescent="0.2">
      <c r="A49" s="137">
        <v>49</v>
      </c>
      <c r="B49" s="138">
        <v>4.4800000000000004</v>
      </c>
      <c r="C49" s="79">
        <v>0.28160000000000002</v>
      </c>
      <c r="D49" s="79">
        <v>0.36459999999999998</v>
      </c>
    </row>
    <row r="50" spans="1:4" x14ac:dyDescent="0.2">
      <c r="A50" s="137">
        <v>50</v>
      </c>
      <c r="B50" s="138">
        <v>4.5</v>
      </c>
      <c r="C50" s="79">
        <v>0.2787</v>
      </c>
      <c r="D50" s="79">
        <v>0.36099999999999999</v>
      </c>
    </row>
    <row r="51" spans="1:4" x14ac:dyDescent="0.2">
      <c r="A51" s="137">
        <v>51</v>
      </c>
      <c r="B51" s="138">
        <v>4.5119999999999996</v>
      </c>
      <c r="C51" s="79">
        <v>0.27589999999999998</v>
      </c>
      <c r="D51" s="79">
        <v>0.35749999999999998</v>
      </c>
    </row>
    <row r="52" spans="1:4" x14ac:dyDescent="0.2">
      <c r="A52" s="137">
        <v>52</v>
      </c>
      <c r="B52" s="138">
        <v>4.524</v>
      </c>
      <c r="C52" s="79">
        <v>0.2732</v>
      </c>
      <c r="D52" s="79">
        <v>0.35410000000000003</v>
      </c>
    </row>
    <row r="53" spans="1:4" x14ac:dyDescent="0.2">
      <c r="A53" s="137">
        <v>53</v>
      </c>
      <c r="B53" s="138">
        <v>4.5359999999999996</v>
      </c>
      <c r="C53" s="79">
        <v>0.27060000000000001</v>
      </c>
      <c r="D53" s="79">
        <v>0.35089999999999999</v>
      </c>
    </row>
    <row r="54" spans="1:4" x14ac:dyDescent="0.2">
      <c r="A54" s="137">
        <v>54</v>
      </c>
      <c r="B54" s="138">
        <v>4.548</v>
      </c>
      <c r="C54" s="79">
        <v>0.2681</v>
      </c>
      <c r="D54" s="79">
        <v>0.34770000000000001</v>
      </c>
    </row>
    <row r="55" spans="1:4" x14ac:dyDescent="0.2">
      <c r="A55" s="137">
        <v>55</v>
      </c>
      <c r="B55" s="138">
        <v>4.5599999999999996</v>
      </c>
      <c r="C55" s="79">
        <v>0.2656</v>
      </c>
      <c r="D55" s="79">
        <v>0.34449999999999997</v>
      </c>
    </row>
    <row r="56" spans="1:4" x14ac:dyDescent="0.2">
      <c r="A56" s="137">
        <v>56</v>
      </c>
      <c r="B56" s="138">
        <v>4.5720000000000001</v>
      </c>
      <c r="C56" s="79">
        <v>0.26319999999999999</v>
      </c>
      <c r="D56" s="79">
        <v>0.34150000000000003</v>
      </c>
    </row>
    <row r="57" spans="1:4" x14ac:dyDescent="0.2">
      <c r="A57" s="137">
        <v>57</v>
      </c>
      <c r="B57" s="138">
        <v>4.5839999999999996</v>
      </c>
      <c r="C57" s="79">
        <v>0.26090000000000002</v>
      </c>
      <c r="D57" s="79">
        <v>0.33850000000000002</v>
      </c>
    </row>
    <row r="58" spans="1:4" x14ac:dyDescent="0.2">
      <c r="A58" s="137">
        <v>58</v>
      </c>
      <c r="B58" s="138">
        <v>4.5960000000000001</v>
      </c>
      <c r="C58" s="79">
        <v>0.2586</v>
      </c>
      <c r="D58" s="79">
        <v>0.3357</v>
      </c>
    </row>
    <row r="59" spans="1:4" x14ac:dyDescent="0.2">
      <c r="A59" s="137">
        <v>59</v>
      </c>
      <c r="B59" s="138">
        <v>4.6079999999999997</v>
      </c>
      <c r="C59" s="79">
        <v>0.25640000000000002</v>
      </c>
      <c r="D59" s="79">
        <v>0.33289999999999997</v>
      </c>
    </row>
    <row r="60" spans="1:4" x14ac:dyDescent="0.2">
      <c r="A60" s="137">
        <v>60</v>
      </c>
      <c r="B60" s="138">
        <v>4.62</v>
      </c>
      <c r="C60" s="79">
        <v>0.25419999999999998</v>
      </c>
      <c r="D60" s="79">
        <v>0.3301</v>
      </c>
    </row>
    <row r="61" spans="1:4" x14ac:dyDescent="0.2">
      <c r="A61" s="137">
        <v>61</v>
      </c>
      <c r="B61" s="138">
        <v>4.6319999999999997</v>
      </c>
      <c r="C61" s="79">
        <v>0.25209999999999999</v>
      </c>
      <c r="D61" s="79">
        <v>0.32740000000000002</v>
      </c>
    </row>
    <row r="62" spans="1:4" x14ac:dyDescent="0.2">
      <c r="A62" s="137">
        <v>62</v>
      </c>
      <c r="B62" s="138">
        <v>4.6440000000000001</v>
      </c>
      <c r="C62" s="79">
        <v>0.25</v>
      </c>
      <c r="D62" s="79">
        <v>0.32479999999999998</v>
      </c>
    </row>
    <row r="63" spans="1:4" x14ac:dyDescent="0.2">
      <c r="A63" s="137">
        <v>63</v>
      </c>
      <c r="B63" s="138">
        <v>4.6559999999999997</v>
      </c>
      <c r="C63" s="79">
        <v>0.248</v>
      </c>
      <c r="D63" s="79">
        <v>0.32229999999999998</v>
      </c>
    </row>
    <row r="64" spans="1:4" x14ac:dyDescent="0.2">
      <c r="A64" s="137">
        <v>64</v>
      </c>
      <c r="B64" s="138">
        <v>4.6680000000000001</v>
      </c>
      <c r="C64" s="79">
        <v>0.24610000000000001</v>
      </c>
      <c r="D64" s="79">
        <v>0.31979999999999997</v>
      </c>
    </row>
    <row r="65" spans="1:4" x14ac:dyDescent="0.2">
      <c r="A65" s="137">
        <v>65</v>
      </c>
      <c r="B65" s="138">
        <v>4.68</v>
      </c>
      <c r="C65" s="79">
        <v>0.2442</v>
      </c>
      <c r="D65" s="79">
        <v>0.31740000000000002</v>
      </c>
    </row>
    <row r="66" spans="1:4" x14ac:dyDescent="0.2">
      <c r="A66" s="137">
        <v>66</v>
      </c>
      <c r="B66" s="138">
        <v>4.6920000000000002</v>
      </c>
      <c r="C66" s="79">
        <v>0.24229999999999999</v>
      </c>
      <c r="D66" s="79">
        <v>0.315</v>
      </c>
    </row>
    <row r="67" spans="1:4" x14ac:dyDescent="0.2">
      <c r="A67" s="137">
        <v>67</v>
      </c>
      <c r="B67" s="138">
        <v>4.7039999999999997</v>
      </c>
      <c r="C67" s="79">
        <v>0.24049999999999999</v>
      </c>
      <c r="D67" s="79">
        <v>0.31269999999999998</v>
      </c>
    </row>
    <row r="68" spans="1:4" x14ac:dyDescent="0.2">
      <c r="A68" s="137">
        <v>68</v>
      </c>
      <c r="B68" s="138">
        <v>4.7160000000000002</v>
      </c>
      <c r="C68" s="79">
        <v>0.2387</v>
      </c>
      <c r="D68" s="79">
        <v>0.31040000000000001</v>
      </c>
    </row>
    <row r="69" spans="1:4" x14ac:dyDescent="0.2">
      <c r="A69" s="137">
        <v>69</v>
      </c>
      <c r="B69" s="138">
        <v>4.7279999999999998</v>
      </c>
      <c r="C69" s="79">
        <v>0.2369</v>
      </c>
      <c r="D69" s="79">
        <v>0.30809999999999998</v>
      </c>
    </row>
    <row r="70" spans="1:4" x14ac:dyDescent="0.2">
      <c r="A70" s="137">
        <v>70</v>
      </c>
      <c r="B70" s="138">
        <v>4.74</v>
      </c>
      <c r="C70" s="79">
        <v>0.23519999999999999</v>
      </c>
      <c r="D70" s="79">
        <v>0.30599999999999999</v>
      </c>
    </row>
    <row r="71" spans="1:4" x14ac:dyDescent="0.2">
      <c r="A71" s="137">
        <v>71</v>
      </c>
      <c r="B71" s="138">
        <v>4.7519999999999998</v>
      </c>
      <c r="C71" s="79">
        <v>0.23350000000000001</v>
      </c>
      <c r="D71" s="79">
        <v>0.30380000000000001</v>
      </c>
    </row>
    <row r="72" spans="1:4" x14ac:dyDescent="0.2">
      <c r="A72" s="137">
        <v>72</v>
      </c>
      <c r="B72" s="138">
        <v>4.7640000000000002</v>
      </c>
      <c r="C72" s="79">
        <v>0.2319</v>
      </c>
      <c r="D72" s="79">
        <v>0.30170000000000002</v>
      </c>
    </row>
    <row r="73" spans="1:4" x14ac:dyDescent="0.2">
      <c r="A73" s="137">
        <v>73</v>
      </c>
      <c r="B73" s="138">
        <v>4.7759999999999998</v>
      </c>
      <c r="C73" s="79">
        <v>0.2303</v>
      </c>
      <c r="D73" s="79">
        <v>0.29970000000000002</v>
      </c>
    </row>
    <row r="74" spans="1:4" x14ac:dyDescent="0.2">
      <c r="A74" s="137">
        <v>74</v>
      </c>
      <c r="B74" s="138">
        <v>4.7880000000000003</v>
      </c>
      <c r="C74" s="79">
        <v>0.22869999999999999</v>
      </c>
      <c r="D74" s="79">
        <v>0.29770000000000002</v>
      </c>
    </row>
    <row r="75" spans="1:4" x14ac:dyDescent="0.2">
      <c r="A75" s="137">
        <v>75</v>
      </c>
      <c r="B75" s="138">
        <v>4.8</v>
      </c>
      <c r="C75" s="79">
        <v>0.22720000000000001</v>
      </c>
      <c r="D75" s="79">
        <v>0.29570000000000002</v>
      </c>
    </row>
    <row r="76" spans="1:4" x14ac:dyDescent="0.2">
      <c r="A76" s="137">
        <v>76</v>
      </c>
      <c r="B76" s="138">
        <v>4.8079999999999998</v>
      </c>
      <c r="C76" s="79">
        <v>0.22570000000000001</v>
      </c>
      <c r="D76" s="79">
        <v>0.29380000000000001</v>
      </c>
    </row>
    <row r="77" spans="1:4" x14ac:dyDescent="0.2">
      <c r="A77" s="137">
        <v>77</v>
      </c>
      <c r="B77" s="138">
        <v>4.8159999999999998</v>
      </c>
      <c r="C77" s="79">
        <v>0.22420000000000001</v>
      </c>
      <c r="D77" s="79">
        <v>0.29189999999999999</v>
      </c>
    </row>
    <row r="78" spans="1:4" x14ac:dyDescent="0.2">
      <c r="A78" s="137">
        <v>78</v>
      </c>
      <c r="B78" s="138">
        <v>4.8239999999999998</v>
      </c>
      <c r="C78" s="79">
        <v>0.22270000000000001</v>
      </c>
      <c r="D78" s="79">
        <v>0.28999999999999998</v>
      </c>
    </row>
    <row r="79" spans="1:4" x14ac:dyDescent="0.2">
      <c r="A79" s="137">
        <v>79</v>
      </c>
      <c r="B79" s="138">
        <v>4.8319999999999999</v>
      </c>
      <c r="C79" s="79">
        <v>0.2213</v>
      </c>
      <c r="D79" s="79">
        <v>0.28820000000000001</v>
      </c>
    </row>
    <row r="80" spans="1:4" x14ac:dyDescent="0.2">
      <c r="A80" s="137">
        <v>80</v>
      </c>
      <c r="B80" s="138">
        <v>4.84</v>
      </c>
      <c r="C80" s="79">
        <v>0.21990000000000001</v>
      </c>
      <c r="D80" s="79">
        <v>0.28639999999999999</v>
      </c>
    </row>
    <row r="81" spans="1:4" x14ac:dyDescent="0.2">
      <c r="A81" s="137">
        <v>81</v>
      </c>
      <c r="B81" s="138">
        <v>4.8479999999999999</v>
      </c>
      <c r="C81" s="79">
        <v>0.2185</v>
      </c>
      <c r="D81" s="79">
        <v>0.28470000000000001</v>
      </c>
    </row>
    <row r="82" spans="1:4" x14ac:dyDescent="0.2">
      <c r="A82" s="137">
        <v>82</v>
      </c>
      <c r="B82" s="138">
        <v>4.8559999999999999</v>
      </c>
      <c r="C82" s="79">
        <v>0.2172</v>
      </c>
      <c r="D82" s="79">
        <v>0.28299999999999997</v>
      </c>
    </row>
    <row r="83" spans="1:4" x14ac:dyDescent="0.2">
      <c r="A83" s="137">
        <v>83</v>
      </c>
      <c r="B83" s="138">
        <v>4.8639999999999999</v>
      </c>
      <c r="C83" s="79">
        <v>0.21590000000000001</v>
      </c>
      <c r="D83" s="79">
        <v>0.28129999999999999</v>
      </c>
    </row>
    <row r="84" spans="1:4" x14ac:dyDescent="0.2">
      <c r="A84" s="137">
        <v>84</v>
      </c>
      <c r="B84" s="138">
        <v>4.8719999999999999</v>
      </c>
      <c r="C84" s="79">
        <v>0.21460000000000001</v>
      </c>
      <c r="D84" s="79">
        <v>0.27960000000000002</v>
      </c>
    </row>
    <row r="85" spans="1:4" x14ac:dyDescent="0.2">
      <c r="A85" s="137">
        <v>85</v>
      </c>
      <c r="B85" s="138">
        <v>4.88</v>
      </c>
      <c r="C85" s="79">
        <v>0.21329999999999999</v>
      </c>
      <c r="D85" s="79">
        <v>0.27800000000000002</v>
      </c>
    </row>
    <row r="86" spans="1:4" x14ac:dyDescent="0.2">
      <c r="A86" s="137">
        <v>86</v>
      </c>
      <c r="B86" s="138">
        <v>4.8879999999999999</v>
      </c>
      <c r="C86" s="79">
        <v>0.21199999999999999</v>
      </c>
      <c r="D86" s="79">
        <v>0.27639999999999998</v>
      </c>
    </row>
    <row r="87" spans="1:4" x14ac:dyDescent="0.2">
      <c r="A87" s="137">
        <v>87</v>
      </c>
      <c r="B87" s="138">
        <v>4.8959999999999999</v>
      </c>
      <c r="C87" s="79">
        <v>0.21079999999999999</v>
      </c>
      <c r="D87" s="79">
        <v>0.27479999999999999</v>
      </c>
    </row>
    <row r="88" spans="1:4" x14ac:dyDescent="0.2">
      <c r="A88" s="137">
        <v>88</v>
      </c>
      <c r="B88" s="138">
        <v>4.9039999999999999</v>
      </c>
      <c r="C88" s="79">
        <v>0.20960000000000001</v>
      </c>
      <c r="D88" s="79">
        <v>0.27329999999999999</v>
      </c>
    </row>
    <row r="89" spans="1:4" x14ac:dyDescent="0.2">
      <c r="A89" s="137">
        <v>89</v>
      </c>
      <c r="B89" s="138">
        <v>4.9119999999999999</v>
      </c>
      <c r="C89" s="79">
        <v>0.2084</v>
      </c>
      <c r="D89" s="79">
        <v>0.2717</v>
      </c>
    </row>
    <row r="90" spans="1:4" x14ac:dyDescent="0.2">
      <c r="A90" s="137">
        <v>90</v>
      </c>
      <c r="B90" s="138">
        <v>4.92</v>
      </c>
      <c r="C90" s="79">
        <v>0.2072</v>
      </c>
      <c r="D90" s="79">
        <v>0.2702</v>
      </c>
    </row>
    <row r="91" spans="1:4" x14ac:dyDescent="0.2">
      <c r="A91" s="137">
        <v>91</v>
      </c>
      <c r="B91" s="138">
        <v>4.9279999999999999</v>
      </c>
      <c r="C91" s="79">
        <v>0.20610000000000001</v>
      </c>
      <c r="D91" s="79">
        <v>0.26879999999999998</v>
      </c>
    </row>
    <row r="92" spans="1:4" x14ac:dyDescent="0.2">
      <c r="A92" s="137">
        <v>92</v>
      </c>
      <c r="B92" s="138">
        <v>4.9359999999999999</v>
      </c>
      <c r="C92" s="79">
        <v>0.20499999999999999</v>
      </c>
      <c r="D92" s="79">
        <v>0.26729999999999998</v>
      </c>
    </row>
    <row r="93" spans="1:4" x14ac:dyDescent="0.2">
      <c r="A93" s="137">
        <v>93</v>
      </c>
      <c r="B93" s="138">
        <v>4.944</v>
      </c>
      <c r="C93" s="79">
        <v>0.2039</v>
      </c>
      <c r="D93" s="79">
        <v>0.2959</v>
      </c>
    </row>
    <row r="94" spans="1:4" x14ac:dyDescent="0.2">
      <c r="A94" s="137">
        <v>94</v>
      </c>
      <c r="B94" s="138">
        <v>4.952</v>
      </c>
      <c r="C94" s="79">
        <v>0.20280000000000001</v>
      </c>
      <c r="D94" s="79">
        <v>0.26450000000000001</v>
      </c>
    </row>
    <row r="95" spans="1:4" x14ac:dyDescent="0.2">
      <c r="A95" s="137">
        <v>95</v>
      </c>
      <c r="B95" s="138">
        <v>4.96</v>
      </c>
      <c r="C95" s="79">
        <v>0.20169999999999999</v>
      </c>
      <c r="D95" s="79">
        <v>0.2631</v>
      </c>
    </row>
    <row r="96" spans="1:4" x14ac:dyDescent="0.2">
      <c r="A96" s="137">
        <v>96</v>
      </c>
      <c r="B96" s="138">
        <v>4.968</v>
      </c>
      <c r="C96" s="79">
        <v>0.2006</v>
      </c>
      <c r="D96" s="79">
        <v>0.26169999999999999</v>
      </c>
    </row>
    <row r="97" spans="1:4" x14ac:dyDescent="0.2">
      <c r="A97" s="137">
        <v>97</v>
      </c>
      <c r="B97" s="138">
        <v>4.976</v>
      </c>
      <c r="C97" s="79">
        <v>0.1996</v>
      </c>
      <c r="D97" s="79">
        <v>0.26040000000000002</v>
      </c>
    </row>
    <row r="98" spans="1:4" x14ac:dyDescent="0.2">
      <c r="A98" s="137">
        <v>98</v>
      </c>
      <c r="B98" s="138">
        <v>4.984</v>
      </c>
      <c r="C98" s="79">
        <v>0.1986</v>
      </c>
      <c r="D98" s="79">
        <v>0.2591</v>
      </c>
    </row>
    <row r="99" spans="1:4" x14ac:dyDescent="0.2">
      <c r="A99" s="137">
        <v>99</v>
      </c>
      <c r="B99" s="138">
        <v>4.992</v>
      </c>
      <c r="C99" s="79">
        <v>0.1976</v>
      </c>
      <c r="D99" s="79">
        <v>0.25779999999999997</v>
      </c>
    </row>
    <row r="100" spans="1:4" x14ac:dyDescent="0.2">
      <c r="A100" s="137">
        <v>100</v>
      </c>
      <c r="B100" s="138">
        <v>5</v>
      </c>
      <c r="C100" s="79">
        <v>0.1966</v>
      </c>
      <c r="D100" s="79">
        <v>0.25650000000000001</v>
      </c>
    </row>
    <row r="101" spans="1:4" x14ac:dyDescent="0.2">
      <c r="A101" s="137">
        <v>101</v>
      </c>
      <c r="B101" s="138">
        <v>5.0060000000000002</v>
      </c>
      <c r="C101" s="79">
        <v>0.1956</v>
      </c>
      <c r="D101" s="79">
        <v>0.25519999999999998</v>
      </c>
    </row>
    <row r="102" spans="1:4" x14ac:dyDescent="0.2">
      <c r="A102" s="137">
        <v>102</v>
      </c>
      <c r="B102" s="138">
        <v>5.0119999999999996</v>
      </c>
      <c r="C102" s="79">
        <v>0.1946</v>
      </c>
      <c r="D102" s="79">
        <v>0.254</v>
      </c>
    </row>
    <row r="103" spans="1:4" x14ac:dyDescent="0.2">
      <c r="A103" s="137">
        <v>103</v>
      </c>
      <c r="B103" s="138">
        <v>5.0179999999999998</v>
      </c>
      <c r="C103" s="79">
        <v>0.19370000000000001</v>
      </c>
      <c r="D103" s="79">
        <v>0.25280000000000002</v>
      </c>
    </row>
    <row r="104" spans="1:4" x14ac:dyDescent="0.2">
      <c r="A104" s="137">
        <v>104</v>
      </c>
      <c r="B104" s="138">
        <v>5.024</v>
      </c>
      <c r="C104" s="79">
        <v>0.19270000000000001</v>
      </c>
      <c r="D104" s="79">
        <v>0.2515</v>
      </c>
    </row>
    <row r="105" spans="1:4" x14ac:dyDescent="0.2">
      <c r="A105" s="137">
        <v>105</v>
      </c>
      <c r="B105" s="138">
        <v>5.03</v>
      </c>
      <c r="C105" s="79">
        <v>0.1918</v>
      </c>
      <c r="D105" s="79">
        <v>0.25040000000000001</v>
      </c>
    </row>
    <row r="106" spans="1:4" x14ac:dyDescent="0.2">
      <c r="A106" s="137">
        <v>106</v>
      </c>
      <c r="B106" s="138">
        <v>5.0359999999999996</v>
      </c>
      <c r="C106" s="79">
        <v>0.19089999999999999</v>
      </c>
      <c r="D106" s="79">
        <v>0.2492</v>
      </c>
    </row>
    <row r="107" spans="1:4" x14ac:dyDescent="0.2">
      <c r="A107" s="137">
        <v>107</v>
      </c>
      <c r="B107" s="138">
        <v>5.0419999999999998</v>
      </c>
      <c r="C107" s="79">
        <v>0.19</v>
      </c>
      <c r="D107" s="79">
        <v>0.248</v>
      </c>
    </row>
    <row r="108" spans="1:4" x14ac:dyDescent="0.2">
      <c r="A108" s="137">
        <v>108</v>
      </c>
      <c r="B108" s="138">
        <v>5.048</v>
      </c>
      <c r="C108" s="79">
        <v>0.18909999999999999</v>
      </c>
      <c r="D108" s="79">
        <v>0.24690000000000001</v>
      </c>
    </row>
    <row r="109" spans="1:4" x14ac:dyDescent="0.2">
      <c r="A109" s="137">
        <v>109</v>
      </c>
      <c r="B109" s="138">
        <v>5.0540000000000003</v>
      </c>
      <c r="C109" s="79">
        <v>0.18820000000000001</v>
      </c>
      <c r="D109" s="79">
        <v>0.24579999999999999</v>
      </c>
    </row>
    <row r="110" spans="1:4" x14ac:dyDescent="0.2">
      <c r="A110" s="137">
        <v>110</v>
      </c>
      <c r="B110" s="138">
        <v>5.0599999999999996</v>
      </c>
      <c r="C110" s="79">
        <v>0.18740000000000001</v>
      </c>
      <c r="D110" s="79">
        <v>0.2447</v>
      </c>
    </row>
    <row r="111" spans="1:4" x14ac:dyDescent="0.2">
      <c r="A111" s="137">
        <v>111</v>
      </c>
      <c r="B111" s="138">
        <v>5.0659999999999998</v>
      </c>
      <c r="C111" s="79">
        <v>0.1865</v>
      </c>
      <c r="D111" s="79">
        <v>0.24360000000000001</v>
      </c>
    </row>
    <row r="112" spans="1:4" x14ac:dyDescent="0.2">
      <c r="A112" s="137">
        <v>112</v>
      </c>
      <c r="B112" s="138">
        <v>5.0720000000000001</v>
      </c>
      <c r="C112" s="79">
        <v>0.1857</v>
      </c>
      <c r="D112" s="79">
        <v>0.24249999999999999</v>
      </c>
    </row>
    <row r="113" spans="1:4" x14ac:dyDescent="0.2">
      <c r="A113" s="137">
        <v>113</v>
      </c>
      <c r="B113" s="138">
        <v>5.0780000000000003</v>
      </c>
      <c r="C113" s="79">
        <v>0.18479999999999999</v>
      </c>
      <c r="D113" s="79">
        <v>0.2414</v>
      </c>
    </row>
    <row r="114" spans="1:4" x14ac:dyDescent="0.2">
      <c r="A114" s="137">
        <v>114</v>
      </c>
      <c r="B114" s="138">
        <v>5.0839999999999996</v>
      </c>
      <c r="C114" s="79">
        <v>0.184</v>
      </c>
      <c r="D114" s="79">
        <v>0.2404</v>
      </c>
    </row>
    <row r="115" spans="1:4" x14ac:dyDescent="0.2">
      <c r="A115" s="137">
        <v>115</v>
      </c>
      <c r="B115" s="138">
        <v>5.09</v>
      </c>
      <c r="C115" s="79">
        <v>0.1832</v>
      </c>
      <c r="D115" s="79">
        <v>0.23930000000000001</v>
      </c>
    </row>
    <row r="116" spans="1:4" x14ac:dyDescent="0.2">
      <c r="A116" s="137">
        <v>116</v>
      </c>
      <c r="B116" s="138">
        <v>5.0960000000000001</v>
      </c>
      <c r="C116" s="79">
        <v>0.18240000000000001</v>
      </c>
      <c r="D116" s="79">
        <v>0.23830000000000001</v>
      </c>
    </row>
    <row r="117" spans="1:4" x14ac:dyDescent="0.2">
      <c r="A117" s="137">
        <v>117</v>
      </c>
      <c r="B117" s="138">
        <v>5.1020000000000003</v>
      </c>
      <c r="C117" s="79">
        <v>0.18160000000000001</v>
      </c>
      <c r="D117" s="79">
        <v>0.23730000000000001</v>
      </c>
    </row>
    <row r="118" spans="1:4" x14ac:dyDescent="0.2">
      <c r="A118" s="137">
        <v>118</v>
      </c>
      <c r="B118" s="138">
        <v>5.1079999999999997</v>
      </c>
      <c r="C118" s="79">
        <v>0.18090000000000001</v>
      </c>
      <c r="D118" s="79">
        <v>0.23630000000000001</v>
      </c>
    </row>
    <row r="119" spans="1:4" x14ac:dyDescent="0.2">
      <c r="A119" s="137">
        <v>119</v>
      </c>
      <c r="B119" s="138">
        <v>5.1139999999999999</v>
      </c>
      <c r="C119" s="79">
        <v>0.18010000000000001</v>
      </c>
      <c r="D119" s="79">
        <v>0.23530000000000001</v>
      </c>
    </row>
    <row r="120" spans="1:4" x14ac:dyDescent="0.2">
      <c r="A120" s="137">
        <v>120</v>
      </c>
      <c r="B120" s="138">
        <v>5.12</v>
      </c>
      <c r="C120" s="79">
        <v>0.17929999999999999</v>
      </c>
      <c r="D120" s="79">
        <v>0.23430000000000001</v>
      </c>
    </row>
    <row r="121" spans="1:4" x14ac:dyDescent="0.2">
      <c r="A121" s="137">
        <v>121</v>
      </c>
      <c r="B121" s="138">
        <v>5.1260000000000003</v>
      </c>
      <c r="C121" s="79">
        <v>0.17860000000000001</v>
      </c>
      <c r="D121" s="79">
        <v>0.2334</v>
      </c>
    </row>
    <row r="122" spans="1:4" x14ac:dyDescent="0.2">
      <c r="A122" s="137">
        <v>122</v>
      </c>
      <c r="B122" s="138">
        <v>5.1319999999999997</v>
      </c>
      <c r="C122" s="79">
        <v>0.1779</v>
      </c>
      <c r="D122" s="79">
        <v>0.2324</v>
      </c>
    </row>
    <row r="123" spans="1:4" x14ac:dyDescent="0.2">
      <c r="A123" s="137">
        <v>123</v>
      </c>
      <c r="B123" s="138">
        <v>5.1379999999999999</v>
      </c>
      <c r="C123" s="79">
        <v>0.17710000000000001</v>
      </c>
      <c r="D123" s="79">
        <v>0.23150000000000001</v>
      </c>
    </row>
    <row r="124" spans="1:4" x14ac:dyDescent="0.2">
      <c r="A124" s="137">
        <v>124</v>
      </c>
      <c r="B124" s="138">
        <v>5.1440000000000001</v>
      </c>
      <c r="C124" s="79">
        <v>0.1764</v>
      </c>
      <c r="D124" s="79">
        <v>0.23050000000000001</v>
      </c>
    </row>
    <row r="125" spans="1:4" x14ac:dyDescent="0.2">
      <c r="A125" s="137">
        <v>125</v>
      </c>
      <c r="B125" s="138">
        <v>5.15</v>
      </c>
      <c r="C125" s="79">
        <v>0.1757</v>
      </c>
      <c r="D125" s="79">
        <v>0.2296</v>
      </c>
    </row>
    <row r="126" spans="1:4" x14ac:dyDescent="0.2">
      <c r="A126" s="137">
        <v>126</v>
      </c>
      <c r="B126" s="138">
        <v>5.1559999999999997</v>
      </c>
      <c r="C126" s="79">
        <v>0.17499999999999999</v>
      </c>
      <c r="D126" s="79">
        <v>0.22869999999999999</v>
      </c>
    </row>
    <row r="127" spans="1:4" x14ac:dyDescent="0.2">
      <c r="A127" s="137">
        <v>127</v>
      </c>
      <c r="B127" s="138">
        <v>5.1619999999999999</v>
      </c>
      <c r="C127" s="79">
        <v>0.17430000000000001</v>
      </c>
      <c r="D127" s="79">
        <v>0.2278</v>
      </c>
    </row>
    <row r="128" spans="1:4" x14ac:dyDescent="0.2">
      <c r="A128" s="137">
        <v>128</v>
      </c>
      <c r="B128" s="138">
        <v>5.1680000000000001</v>
      </c>
      <c r="C128" s="79">
        <v>0.1736</v>
      </c>
      <c r="D128" s="79">
        <v>0.22689999999999999</v>
      </c>
    </row>
    <row r="129" spans="1:4" x14ac:dyDescent="0.2">
      <c r="A129" s="137">
        <v>129</v>
      </c>
      <c r="B129" s="138">
        <v>5.1739999999999995</v>
      </c>
      <c r="C129" s="79">
        <v>0.17299999999999999</v>
      </c>
      <c r="D129" s="79">
        <v>0.2261</v>
      </c>
    </row>
    <row r="130" spans="1:4" x14ac:dyDescent="0.2">
      <c r="A130" s="137">
        <v>130</v>
      </c>
      <c r="B130" s="138">
        <v>5.18</v>
      </c>
      <c r="C130" s="79">
        <v>0.17230000000000001</v>
      </c>
      <c r="D130" s="79">
        <v>0.22520000000000001</v>
      </c>
    </row>
    <row r="131" spans="1:4" x14ac:dyDescent="0.2">
      <c r="A131" s="137">
        <v>131</v>
      </c>
      <c r="B131" s="138">
        <v>5.1859999999999999</v>
      </c>
      <c r="C131" s="79">
        <v>0.1716</v>
      </c>
      <c r="D131" s="79">
        <v>0.2243</v>
      </c>
    </row>
    <row r="132" spans="1:4" x14ac:dyDescent="0.2">
      <c r="A132" s="137">
        <v>132</v>
      </c>
      <c r="B132" s="138">
        <v>5.1920000000000002</v>
      </c>
      <c r="C132" s="79">
        <v>0.17100000000000001</v>
      </c>
      <c r="D132" s="79">
        <v>0.2235</v>
      </c>
    </row>
    <row r="133" spans="1:4" x14ac:dyDescent="0.2">
      <c r="A133" s="137">
        <v>133</v>
      </c>
      <c r="B133" s="138">
        <v>5.1979999999999995</v>
      </c>
      <c r="C133" s="79">
        <v>0.17030000000000001</v>
      </c>
      <c r="D133" s="79">
        <v>0.22259999999999999</v>
      </c>
    </row>
    <row r="134" spans="1:4" x14ac:dyDescent="0.2">
      <c r="A134" s="137">
        <v>134</v>
      </c>
      <c r="B134" s="138">
        <v>5.2039999999999997</v>
      </c>
      <c r="C134" s="79">
        <v>0.16969999999999999</v>
      </c>
      <c r="D134" s="79">
        <v>0.2218</v>
      </c>
    </row>
    <row r="135" spans="1:4" x14ac:dyDescent="0.2">
      <c r="A135" s="137">
        <v>135</v>
      </c>
      <c r="B135" s="138">
        <v>5.21</v>
      </c>
      <c r="C135" s="79">
        <v>0.16900000000000001</v>
      </c>
      <c r="D135" s="79">
        <v>0.221</v>
      </c>
    </row>
    <row r="136" spans="1:4" x14ac:dyDescent="0.2">
      <c r="A136" s="137">
        <v>136</v>
      </c>
      <c r="B136" s="138">
        <v>5.2160000000000002</v>
      </c>
      <c r="C136" s="79">
        <v>0.16839999999999999</v>
      </c>
      <c r="D136" s="79">
        <v>0.22020000000000001</v>
      </c>
    </row>
    <row r="137" spans="1:4" x14ac:dyDescent="0.2">
      <c r="A137" s="137">
        <v>137</v>
      </c>
      <c r="B137" s="138">
        <v>5.2219999999999995</v>
      </c>
      <c r="C137" s="79">
        <v>0.1678</v>
      </c>
      <c r="D137" s="79">
        <v>0.21940000000000001</v>
      </c>
    </row>
    <row r="138" spans="1:4" x14ac:dyDescent="0.2">
      <c r="A138" s="137">
        <v>138</v>
      </c>
      <c r="B138" s="138">
        <v>5.2279999999999998</v>
      </c>
      <c r="C138" s="79">
        <v>0.16719999999999999</v>
      </c>
      <c r="D138" s="79">
        <v>0.21859999999999999</v>
      </c>
    </row>
    <row r="139" spans="1:4" x14ac:dyDescent="0.2">
      <c r="A139" s="137">
        <v>139</v>
      </c>
      <c r="B139" s="138">
        <v>5.234</v>
      </c>
      <c r="C139" s="79">
        <v>0.1666</v>
      </c>
      <c r="D139" s="79">
        <v>0.21779999999999999</v>
      </c>
    </row>
    <row r="140" spans="1:4" x14ac:dyDescent="0.2">
      <c r="A140" s="137">
        <v>140</v>
      </c>
      <c r="B140" s="138">
        <v>5.24</v>
      </c>
      <c r="C140" s="79">
        <v>0.16600000000000001</v>
      </c>
      <c r="D140" s="79">
        <v>0.217</v>
      </c>
    </row>
    <row r="141" spans="1:4" x14ac:dyDescent="0.2">
      <c r="A141" s="137">
        <v>141</v>
      </c>
      <c r="B141" s="138">
        <v>5.2459999999999996</v>
      </c>
      <c r="C141" s="79">
        <v>0.16539999999999999</v>
      </c>
      <c r="D141" s="79">
        <v>0.21629999999999999</v>
      </c>
    </row>
    <row r="142" spans="1:4" x14ac:dyDescent="0.2">
      <c r="A142" s="137">
        <v>142</v>
      </c>
      <c r="B142" s="138">
        <v>5.2519999999999998</v>
      </c>
      <c r="C142" s="79">
        <v>0.1648</v>
      </c>
      <c r="D142" s="79">
        <v>0.2155</v>
      </c>
    </row>
    <row r="143" spans="1:4" x14ac:dyDescent="0.2">
      <c r="A143" s="137">
        <v>143</v>
      </c>
      <c r="B143" s="138">
        <v>5.258</v>
      </c>
      <c r="C143" s="79">
        <v>0.16420000000000001</v>
      </c>
      <c r="D143" s="79">
        <v>0.21479999999999999</v>
      </c>
    </row>
    <row r="144" spans="1:4" x14ac:dyDescent="0.2">
      <c r="A144" s="137">
        <v>144</v>
      </c>
      <c r="B144" s="138">
        <v>5.2640000000000002</v>
      </c>
      <c r="C144" s="79">
        <v>0.16370000000000001</v>
      </c>
      <c r="D144" s="79">
        <v>0.214</v>
      </c>
    </row>
    <row r="145" spans="1:4" x14ac:dyDescent="0.2">
      <c r="A145" s="137">
        <v>145</v>
      </c>
      <c r="B145" s="138">
        <v>5.27</v>
      </c>
      <c r="C145" s="79">
        <v>0.16309999999999999</v>
      </c>
      <c r="D145" s="79">
        <v>0.21329999999999999</v>
      </c>
    </row>
    <row r="146" spans="1:4" x14ac:dyDescent="0.2">
      <c r="A146" s="137">
        <v>146</v>
      </c>
      <c r="B146" s="138">
        <v>5.2759999999999998</v>
      </c>
      <c r="C146" s="79">
        <v>0.16250000000000001</v>
      </c>
      <c r="D146" s="79">
        <v>0.21260000000000001</v>
      </c>
    </row>
    <row r="147" spans="1:4" x14ac:dyDescent="0.2">
      <c r="A147" s="137">
        <v>147</v>
      </c>
      <c r="B147" s="138">
        <v>5.282</v>
      </c>
      <c r="C147" s="79">
        <v>0.16200000000000001</v>
      </c>
      <c r="D147" s="79">
        <v>0.21179999999999999</v>
      </c>
    </row>
    <row r="148" spans="1:4" x14ac:dyDescent="0.2">
      <c r="A148" s="137">
        <v>148</v>
      </c>
      <c r="B148" s="138">
        <v>5.2880000000000003</v>
      </c>
      <c r="C148" s="79">
        <v>0.16139999999999999</v>
      </c>
      <c r="D148" s="79">
        <v>0.21110000000000001</v>
      </c>
    </row>
    <row r="149" spans="1:4" x14ac:dyDescent="0.2">
      <c r="A149" s="137">
        <v>149</v>
      </c>
      <c r="B149" s="138">
        <v>5.2939999999999996</v>
      </c>
      <c r="C149" s="79">
        <v>0.16089999999999999</v>
      </c>
      <c r="D149" s="79">
        <v>0.2104</v>
      </c>
    </row>
    <row r="150" spans="1:4" x14ac:dyDescent="0.2">
      <c r="A150" s="137">
        <v>150</v>
      </c>
      <c r="B150" s="138">
        <v>5.3</v>
      </c>
      <c r="C150" s="79">
        <v>0.1603</v>
      </c>
      <c r="D150" s="79">
        <v>0.2097</v>
      </c>
    </row>
  </sheetData>
  <sheetProtection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39</vt:i4>
      </vt:variant>
      <vt:variant>
        <vt:lpstr>Benannte Bereiche</vt:lpstr>
      </vt:variant>
      <vt:variant>
        <vt:i4>37</vt:i4>
      </vt:variant>
    </vt:vector>
  </HeadingPairs>
  <TitlesOfParts>
    <vt:vector size="76" baseType="lpstr">
      <vt:lpstr>pH</vt:lpstr>
      <vt:lpstr>eLF</vt:lpstr>
      <vt:lpstr>Natrium</vt:lpstr>
      <vt:lpstr>Kalium</vt:lpstr>
      <vt:lpstr>Magnesium</vt:lpstr>
      <vt:lpstr>Calcium</vt:lpstr>
      <vt:lpstr>Ngesamt</vt:lpstr>
      <vt:lpstr>Nitrat</vt:lpstr>
      <vt:lpstr>Ammonium</vt:lpstr>
      <vt:lpstr>Sulfat</vt:lpstr>
      <vt:lpstr>Chlorid</vt:lpstr>
      <vt:lpstr>TOC</vt:lpstr>
      <vt:lpstr>Fluorid</vt:lpstr>
      <vt:lpstr>Cyanid, lfr</vt:lpstr>
      <vt:lpstr>Cyanid</vt:lpstr>
      <vt:lpstr>Bor</vt:lpstr>
      <vt:lpstr>KW</vt:lpstr>
      <vt:lpstr>PAK</vt:lpstr>
      <vt:lpstr>AOX</vt:lpstr>
      <vt:lpstr>Arsen</vt:lpstr>
      <vt:lpstr>Blei</vt:lpstr>
      <vt:lpstr>Cadmium</vt:lpstr>
      <vt:lpstr>Chrom ges</vt:lpstr>
      <vt:lpstr>Kupfer</vt:lpstr>
      <vt:lpstr>Molybdän</vt:lpstr>
      <vt:lpstr>Nickel</vt:lpstr>
      <vt:lpstr>Quecksilber</vt:lpstr>
      <vt:lpstr>Zink</vt:lpstr>
      <vt:lpstr>frei 1</vt:lpstr>
      <vt:lpstr>frei 2</vt:lpstr>
      <vt:lpstr>frei 3</vt:lpstr>
      <vt:lpstr>frei 4</vt:lpstr>
      <vt:lpstr>frei 5</vt:lpstr>
      <vt:lpstr>trend 1</vt:lpstr>
      <vt:lpstr>trend 2</vt:lpstr>
      <vt:lpstr>trend 3</vt:lpstr>
      <vt:lpstr>trend 4</vt:lpstr>
      <vt:lpstr>Impressum</vt:lpstr>
      <vt:lpstr>XX</vt:lpstr>
      <vt:lpstr>Ammonium!Druckbereich</vt:lpstr>
      <vt:lpstr>AOX!Druckbereich</vt:lpstr>
      <vt:lpstr>Arsen!Druckbereich</vt:lpstr>
      <vt:lpstr>Blei!Druckbereich</vt:lpstr>
      <vt:lpstr>Bor!Druckbereich</vt:lpstr>
      <vt:lpstr>Cadmium!Druckbereich</vt:lpstr>
      <vt:lpstr>Calcium!Druckbereich</vt:lpstr>
      <vt:lpstr>Chlorid!Druckbereich</vt:lpstr>
      <vt:lpstr>'Chrom ges'!Druckbereich</vt:lpstr>
      <vt:lpstr>Cyanid!Druckbereich</vt:lpstr>
      <vt:lpstr>'Cyanid, lfr'!Druckbereich</vt:lpstr>
      <vt:lpstr>eLF!Druckbereich</vt:lpstr>
      <vt:lpstr>Fluorid!Druckbereich</vt:lpstr>
      <vt:lpstr>'frei 1'!Druckbereich</vt:lpstr>
      <vt:lpstr>'frei 2'!Druckbereich</vt:lpstr>
      <vt:lpstr>'frei 3'!Druckbereich</vt:lpstr>
      <vt:lpstr>'frei 4'!Druckbereich</vt:lpstr>
      <vt:lpstr>'frei 5'!Druckbereich</vt:lpstr>
      <vt:lpstr>Kalium!Druckbereich</vt:lpstr>
      <vt:lpstr>Kupfer!Druckbereich</vt:lpstr>
      <vt:lpstr>KW!Druckbereich</vt:lpstr>
      <vt:lpstr>Magnesium!Druckbereich</vt:lpstr>
      <vt:lpstr>Molybdän!Druckbereich</vt:lpstr>
      <vt:lpstr>Natrium!Druckbereich</vt:lpstr>
      <vt:lpstr>Ngesamt!Druckbereich</vt:lpstr>
      <vt:lpstr>Nickel!Druckbereich</vt:lpstr>
      <vt:lpstr>Nitrat!Druckbereich</vt:lpstr>
      <vt:lpstr>PAK!Druckbereich</vt:lpstr>
      <vt:lpstr>pH!Druckbereich</vt:lpstr>
      <vt:lpstr>Quecksilber!Druckbereich</vt:lpstr>
      <vt:lpstr>Sulfat!Druckbereich</vt:lpstr>
      <vt:lpstr>TOC!Druckbereich</vt:lpstr>
      <vt:lpstr>'trend 1'!Druckbereich</vt:lpstr>
      <vt:lpstr>'trend 2'!Druckbereich</vt:lpstr>
      <vt:lpstr>'trend 3'!Druckbereich</vt:lpstr>
      <vt:lpstr>'trend 4'!Druckbereich</vt:lpstr>
      <vt:lpstr>Zink!Druckbereich</vt:lpstr>
    </vt:vector>
  </TitlesOfParts>
  <Company>Landesumweltamt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Auswertetool Auslöseschwellen Anstrom Version 1.5</dc:title>
  <dc:subject>Auslöseschwellen nach § 9 DepV</dc:subject>
  <dc:creator>Landesumweltamt Nordrhein-Westfalen - FB 73</dc:creator>
  <dc:description>Ansprechpartner: Dr. Michael Tiedt - Fachbereich 73 - Landesumweltamt NRW - Tel. (0201) 7995-2547</dc:description>
  <cp:lastModifiedBy>Tiedt</cp:lastModifiedBy>
  <cp:lastPrinted>2018-01-03T12:39:01Z</cp:lastPrinted>
  <dcterms:created xsi:type="dcterms:W3CDTF">2005-03-21T05:52:52Z</dcterms:created>
  <dcterms:modified xsi:type="dcterms:W3CDTF">2019-02-13T08:03:57Z</dcterms:modified>
</cp:coreProperties>
</file>